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735" firstSheet="2" activeTab="2"/>
  </bookViews>
  <sheets>
    <sheet name="按建设阶段汇总" sheetId="9" state="hidden" r:id="rId1"/>
    <sheet name="按牵头责任部门汇总" sheetId="8" state="hidden" r:id="rId2"/>
    <sheet name="竣工项目" sheetId="3" r:id="rId3"/>
    <sheet name="续建项目" sheetId="4" r:id="rId4"/>
    <sheet name="新建项目" sheetId="5" r:id="rId5"/>
    <sheet name="储备库项目" sheetId="6" r:id="rId6"/>
    <sheet name="Sheet2" sheetId="10" state="hidden" r:id="rId7"/>
    <sheet name="Sheet1" sheetId="7" state="hidden" r:id="rId8"/>
  </sheets>
  <externalReferences>
    <externalReference r:id="rId9"/>
    <externalReference r:id="rId10"/>
  </externalReferences>
  <definedNames>
    <definedName name="_xlnm._FilterDatabase" localSheetId="1" hidden="1">按牵头责任部门汇总!$A$4:$M$53</definedName>
    <definedName name="_xlnm._FilterDatabase" localSheetId="2" hidden="1">竣工项目!$A$5:$IN$270</definedName>
    <definedName name="_xlnm._FilterDatabase" localSheetId="3" hidden="1">续建项目!$A$5:$IY$43</definedName>
    <definedName name="_xlnm._FilterDatabase" localSheetId="4" hidden="1">新建项目!$A$5:$AG$25</definedName>
    <definedName name="_xlnm._FilterDatabase" localSheetId="5" hidden="1">储备库项目!$A$5:$IW$107</definedName>
    <definedName name="_xlnm._FilterDatabase" localSheetId="6" hidden="1">Sheet2!$A$2:$X$12</definedName>
    <definedName name="_xlnm._FilterDatabase" localSheetId="7" hidden="1">Sheet1!$A$1:$P$126</definedName>
    <definedName name="_xlnm.Print_Area" localSheetId="2">竣工项目!$A$1:$S$270</definedName>
    <definedName name="_xlnm.Print_Titles" localSheetId="2">竣工项目!$4:6</definedName>
    <definedName name="_xlnm.Print_Area" localSheetId="3">续建项目!$A$1:$T$43</definedName>
    <definedName name="_xlnm.Print_Titles" localSheetId="3">续建项目!$4:5</definedName>
    <definedName name="_xlnm.Print_Area" localSheetId="4">新建项目!$A$1:$W$25</definedName>
    <definedName name="_xlnm.Print_Titles" localSheetId="4">新建项目!$4:5</definedName>
    <definedName name="_xlnm.Print_Area" localSheetId="5">储备库项目!$A$1:$O$107</definedName>
    <definedName name="_xlnm.Print_Titles" localSheetId="5">储备库项目!$4:5</definedName>
    <definedName name="_xlnm.Print_Area" localSheetId="1">按牵头责任部门汇总!$A$1:$I$53</definedName>
    <definedName name="_xlnm.Print_Titles" localSheetId="1">按牵头责任部门汇总!$4:4</definedName>
    <definedName name="_xlnm.Print_Area" localSheetId="0">按建设阶段汇总!$A$1:$N$11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<sst xmlns="http://schemas.openxmlformats.org/spreadsheetml/2006/main" count="4556" uniqueCount="1607">
  <si>
    <t>附件1</t>
  </si>
  <si>
    <t>高新区2024年政府投资项目计划（按建设阶段汇总）</t>
  </si>
  <si>
    <t>单位：万元</t>
  </si>
  <si>
    <t>序号</t>
  </si>
  <si>
    <t>项目类别</t>
  </si>
  <si>
    <t>项目个数</t>
  </si>
  <si>
    <t>项目总投资</t>
  </si>
  <si>
    <t>投资计划</t>
  </si>
  <si>
    <t>资金计划</t>
  </si>
  <si>
    <t>资金落实</t>
  </si>
  <si>
    <t>备注</t>
  </si>
  <si>
    <t>专项债、专项债+国债</t>
  </si>
  <si>
    <t>合计</t>
  </si>
  <si>
    <t>财政资金</t>
  </si>
  <si>
    <t>专项债资金</t>
  </si>
  <si>
    <t>国债资金</t>
  </si>
  <si>
    <t>竣工项目</t>
  </si>
  <si>
    <t>续建项目</t>
  </si>
  <si>
    <t xml:space="preserve">新建项目 </t>
  </si>
  <si>
    <t>储备库项目</t>
  </si>
  <si>
    <t>零星小额工程</t>
  </si>
  <si>
    <t>附件2</t>
  </si>
  <si>
    <t>高新区2024年政府投资项目计划（按牵头责任部门汇总）</t>
  </si>
  <si>
    <t>牵头责任部门</t>
  </si>
  <si>
    <t>区住房城乡建设局</t>
  </si>
  <si>
    <t>小计</t>
  </si>
  <si>
    <t>区社会事业局</t>
  </si>
  <si>
    <t>唐家湾镇政府</t>
  </si>
  <si>
    <t>区应急管理局</t>
  </si>
  <si>
    <t>区科技产业局</t>
  </si>
  <si>
    <t>区党群工作部</t>
  </si>
  <si>
    <t>区党政办（政数局）</t>
  </si>
  <si>
    <t>区党政办</t>
  </si>
  <si>
    <t>高新区2024年政府投资项目计划（竣工）</t>
  </si>
  <si>
    <t>项目名称</t>
  </si>
  <si>
    <t>牵头责任单位</t>
  </si>
  <si>
    <t>建设单位</t>
  </si>
  <si>
    <t>建设内容及规模</t>
  </si>
  <si>
    <t>建设起止年限</t>
  </si>
  <si>
    <t>建设性质</t>
  </si>
  <si>
    <t>立项批复文号</t>
  </si>
  <si>
    <t>预计累计至2024年底完成投资额</t>
  </si>
  <si>
    <t>上半年资金计划</t>
  </si>
  <si>
    <t>下半年资金计划</t>
  </si>
  <si>
    <t>行业类别</t>
  </si>
  <si>
    <t>区财政</t>
  </si>
  <si>
    <t>其他</t>
  </si>
  <si>
    <t>合计（263）</t>
  </si>
  <si>
    <t>1</t>
  </si>
  <si>
    <t>中山大学珠海校区四号学院楼群项目</t>
  </si>
  <si>
    <t>珠海华昕开发建设有限公司</t>
  </si>
  <si>
    <t>本项目位于珠海高新区中山大学珠海校区内，本工程规划用地面积为52167平方米，总建筑面积为163720平方米，其中地上建筑面积为123800平方米、地下建筑面积为39920平方米，主要建设内容包括四号学院楼群的建筑、结构、给水排水、空调通风、建筑电气、室内装修、智能化及室外配套工程等。</t>
  </si>
  <si>
    <t>2018-2020</t>
  </si>
  <si>
    <t>竣工</t>
  </si>
  <si>
    <t>珠高发投〔2018〕31号</t>
  </si>
  <si>
    <t>公共教育项目</t>
  </si>
  <si>
    <t>2</t>
  </si>
  <si>
    <t>珠海高新区2018-2019年水环境综合整治工程</t>
  </si>
  <si>
    <t>区公建中心</t>
  </si>
  <si>
    <t>新开工配套污水干管约8.9km（DN600-DN1500），改建污水干管约6.0km，社区管网接驳工程约2.6km，清淤检测修复管道约21km，新开工污水泵站9座（总规模约13.3万m³/d），新开工村居污水一体化处理设施站5座（总规模约5000 m³/d）。</t>
  </si>
  <si>
    <t>2018-2019</t>
  </si>
  <si>
    <t>珠高发投〔2018〕195号</t>
  </si>
  <si>
    <t>市政基础设施项目</t>
  </si>
  <si>
    <t>专项债</t>
  </si>
  <si>
    <t>3</t>
  </si>
  <si>
    <t>中珠渠北路工程</t>
  </si>
  <si>
    <t>城建市政</t>
  </si>
  <si>
    <t>建设道路长4606.975米，宽24米。道路等级为城市次干道，双向4车道，设计时速为40公里每小时，全线采用沥青混凝土路面结构。</t>
  </si>
  <si>
    <t>2019-2023</t>
  </si>
  <si>
    <t>珠高发投〔2017〕122号</t>
  </si>
  <si>
    <t>4</t>
  </si>
  <si>
    <t>中山大学珠海校区土木工程学院楼</t>
  </si>
  <si>
    <t>项目位于中山大学珠海校区白埔路以南、大气科学学院楼以北。项目基底面积:7175.54平方米,总建筑面积:64771.80平方米,地上9层,地下1层,建筑高度42.75米;其中:地上建筑面积54575.65平方米,地下建筑面积10196.15平方米。</t>
  </si>
  <si>
    <t>2021-2023</t>
  </si>
  <si>
    <t>珠高发投〔2021〕15号</t>
  </si>
  <si>
    <t>5</t>
  </si>
  <si>
    <t>智能制造产业园配套项目1(金环路续建工程)</t>
  </si>
  <si>
    <t>道路规划宽度为50m，道路长度约为5271m，规划等级为城市主干道，双向八车道（预留远期有轨电车车道）,本次工程将新建剩余路段，同时对现状路按照规划要求进行续建和改造，并同步建设各类市政管线及配套设施。</t>
  </si>
  <si>
    <t>2019-2021</t>
  </si>
  <si>
    <t>珠高发投〔2017〕12号</t>
  </si>
  <si>
    <t>6</t>
  </si>
  <si>
    <t>珠海高新区金鼎片区金环路南、金鼎西路东侧地块配套道路工程</t>
  </si>
  <si>
    <t>主要建设内容共包含金鼎中路与金瑞二路2条规划道路及周边地块场地平整，谭井排洪渠、1条临时土渠、2座桥涵，投资估算15603.88亿元。其中金鼎中路北起金环路，南至中珠渠北路，规划等级为城市次干路，道路红线宽度为34米，设计长度为691.496米，双向四车道，设计时速40km/h；金瑞二路西起金鼎西路，东至金鼎中路，规划等级为城市支路，道路红线宽度为20米，设计长度为1025.895米，双向两车道，设计时速30km/h。</t>
  </si>
  <si>
    <t>珠发高投〔2022〕35号</t>
  </si>
  <si>
    <t>7</t>
  </si>
  <si>
    <t>唐家湾后环海堤加固工程</t>
  </si>
  <si>
    <t>唐家湾后环海堤加固工程主要建设内容：加固海堤4.5km（含防浪墙、堤身及堤顶路面），重建水闸2座（1号、2号水闸），新建水闸1座（3号水闸），配套工程管理设施。</t>
  </si>
  <si>
    <t>珠海市人民政府关于印发珠海市灾后重建项目计划的通知（珠府函[2017]376号）</t>
  </si>
  <si>
    <t>公共安全项目</t>
  </si>
  <si>
    <t>市奖补资金6000万元</t>
  </si>
  <si>
    <t>8</t>
  </si>
  <si>
    <t>金山软件园二期公共配套工程（科创文化示范中心广场）</t>
  </si>
  <si>
    <t>项目位于高新区情侣北路与前湾二路交汇处，建设面积约44784平方米，其中园建面积30718平方米，绿化面积14066平方米。</t>
  </si>
  <si>
    <t>2021-2022</t>
  </si>
  <si>
    <t>珠高发投〔2021〕26号</t>
  </si>
  <si>
    <t>文化艺术和体育项目</t>
  </si>
  <si>
    <t>9</t>
  </si>
  <si>
    <t>格力学院配套道路工程</t>
  </si>
  <si>
    <t>本项目包含两条支路以及一条排洪渠。金洲四路道路等级为城市次干道，道路南起金唐西路，北至金鼎大道，道路设计全长832米，道路宽34米。金品一路，西起金洲四路，东至金洲三路，设计长度302.71米，道路宽18米。金洲排洪渠位于金洲四路东侧，呈南北走向，该排洪渠规划断面尺寸为10*3米。</t>
  </si>
  <si>
    <t>2020-2023</t>
  </si>
  <si>
    <t>续建</t>
  </si>
  <si>
    <t>珠高发投审〔2021〕12号</t>
  </si>
  <si>
    <t>10</t>
  </si>
  <si>
    <t>2022年度珠海市高新区城镇老旧小区改造工程</t>
  </si>
  <si>
    <t>唐苑新村、唐苑二期、唐家教师楼、华夏宿舍、唐家湾镇政府宿舍、金鼎干部职工宿舍等6个城镇老旧小区改造工程。建设内容：
1.建筑本体修缮：楼梯和公共空间更新改造、建筑外立面改造、屋面整修、节能改造、无障碍及适老化设施改造、建筑配套设施改造等；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t>
  </si>
  <si>
    <t>2022-2024</t>
  </si>
  <si>
    <t>文号珠高发投审〔2023〕5号</t>
  </si>
  <si>
    <t>其他公共服务项目</t>
  </si>
  <si>
    <t>11</t>
  </si>
  <si>
    <t>南围海堤灾后重建工程</t>
  </si>
  <si>
    <t>交通集团</t>
  </si>
  <si>
    <t>本工程南围海堤、南围水闸、东岸水闸的防洪挡潮标准为50年一遇,加固南围海堤长1.8km，分旧南围水闸段、万科地产段、留诗路段及新建东岸海堤段，堤顶防汛抢险道路结合道路建设；重建南围水闸位于拟建的金凤排洪渠出海口，采用液压闸门挡水，净宽48m，设8孔，单孔净宽6m，设计过闸流量351m3/s；重建东岸水闸距离留诗山排渠出海口约100m处，采用液压闸门挡水，净宽18m，设3孔，单孔净宽6m，设计过闸流量120m3/s。</t>
  </si>
  <si>
    <t>2019-2022</t>
  </si>
  <si>
    <t>珠高发投〔2018〕132号</t>
  </si>
  <si>
    <t>12</t>
  </si>
  <si>
    <t>东岸排洪渠生态廊道工程</t>
  </si>
  <si>
    <t>西起金凤渠，北至港湾大道下游约100米，河道中心约2.6公里，两侧绿地10米-30米之间，规划总面积约13公顷，主要工程内容包含河道疏浚、排洪蓄水、护坡护岸、道路工程、水环境治理、滨水景观营造以及沿线市政配套设施完善等。</t>
  </si>
  <si>
    <t>2019-2020</t>
  </si>
  <si>
    <t>珠高发投〔2017〕112号</t>
  </si>
  <si>
    <t>13</t>
  </si>
  <si>
    <t>金环东路南及金园三路东地块周边配套市政道路工程</t>
  </si>
  <si>
    <t>项目位于金鼎工业园片区，项目场平总面积约17万平方米，道路全长2368.12米，宽24米及18米，新建次干路中珠渠北路、金园二路；新建支路金园三路、金瑞二路。</t>
  </si>
  <si>
    <t>2017-2021</t>
  </si>
  <si>
    <t>珠高发投〔2015〕44号</t>
  </si>
  <si>
    <t>14</t>
  </si>
  <si>
    <t>情侣北路（南段）片区市政道路工程（二期）-珠国土储2009-08地块</t>
  </si>
  <si>
    <t>项目位于唐家湾前环片区，情总投资估算约3.24亿元，包括未建12条规划市政路，施工总长度6.533公里，本工程为该项目其中一个标段。4条规划市政道路[前岛环路（半岛二路至半岛五路段）、云海路（半岛二路至半岛五路段）、半岛三路、半岛四路]，施工总长1.97公里，施工合同价66147645.92元。</t>
  </si>
  <si>
    <t>2017-2018</t>
  </si>
  <si>
    <t>珠高发投〔2016〕15号</t>
  </si>
  <si>
    <t>15</t>
  </si>
  <si>
    <t>清华科技园二期公共配套绿化工程</t>
  </si>
  <si>
    <t>本工程位于珠海高新区清华科技园，建设范围为园内2A区及2C区，建设内容为园建面积约49374平方米和绿化工程约7566平方米，包括园林工程、绿化工程、给排水工程、电气工程及其他专项工程等。</t>
  </si>
  <si>
    <t>珠高发投〔2021〕55号</t>
  </si>
  <si>
    <t>16</t>
  </si>
  <si>
    <t>拱星三巷道路改造工程</t>
  </si>
  <si>
    <t>道路宽24米，长约1261米，道路总用地面积约30000平方米，包括道路、管线、给排水管、强弱电等内容。</t>
  </si>
  <si>
    <t>2020-2022</t>
  </si>
  <si>
    <t>珠高发投审〔2022〕22号</t>
  </si>
  <si>
    <t>17</t>
  </si>
  <si>
    <t>东岸排洪渠（留诗山段）生态廊道工程</t>
  </si>
  <si>
    <t>高新基建</t>
  </si>
  <si>
    <t>工程设计主要任务是东岸排洪渠及两岸景观的整体提升及配套管网，设计范围为港湾大道以北450m至中山公园二期规划范围，河道中心线长度约800m。</t>
  </si>
  <si>
    <t>珠高发投〔2021〕29号</t>
  </si>
  <si>
    <t>18</t>
  </si>
  <si>
    <t>共乐路工程</t>
  </si>
  <si>
    <t>高新建投</t>
  </si>
  <si>
    <t>新建道路实施长度约580m，总体走向为东西走向，道路等级为城市支路，红线宽度为17m。建设内容包括：道路工程、管线综合工程、交通工程、照明工程、景观工程等。</t>
  </si>
  <si>
    <t>2020-2021</t>
  </si>
  <si>
    <t>珠高发投〔2019〕101号</t>
  </si>
  <si>
    <t>19</t>
  </si>
  <si>
    <t>创意南路（留诗山段）道路工程</t>
  </si>
  <si>
    <t>项目主要内容为创意南路（留诗山段）道路建设，设计全长690米，道路宽度约为34米，包含道路、桥涵、管线、绿化、照明、交通安监等工程，跨越东岸排洪渠。</t>
  </si>
  <si>
    <t>珠高发投[2021]30号</t>
  </si>
  <si>
    <t>20</t>
  </si>
  <si>
    <t>淇澳大澳路道路工程</t>
  </si>
  <si>
    <t>项目位于珠海高新区淇澳岛，主要建设内容为新建一条全长约1560千米，路基宽度24米的城市次干路。</t>
  </si>
  <si>
    <t>2022-2023</t>
  </si>
  <si>
    <t>珠高发投审[2021]23号</t>
  </si>
  <si>
    <t>21</t>
  </si>
  <si>
    <t>大南山森林公园防火通道及森林防火气象观测与观景平台工程</t>
  </si>
  <si>
    <t>道路全长约7766米，主要建设内容包括：道路工程、涵洞工程、交通工程、安监工程、绿化景观工程、附属工程（物资仓库与消防水池）等。</t>
  </si>
  <si>
    <t>2017-2019</t>
  </si>
  <si>
    <t>珠高发投（2016）139号</t>
  </si>
  <si>
    <t>22</t>
  </si>
  <si>
    <t>金鼎西路（南、北段）工程</t>
  </si>
  <si>
    <t>本道路为城市主干路，主要工程内容包含道路工程、管线工程、照明工程、景观工程、交通设施工程、安监工程等。</t>
  </si>
  <si>
    <t>2018-2021</t>
  </si>
  <si>
    <t>珠高发投〔2018〕86号</t>
  </si>
  <si>
    <t>23</t>
  </si>
  <si>
    <t>珠海高新区金洲四路西侧、香山路北侧地块配套道路工程</t>
  </si>
  <si>
    <t>建设内容包含金洲五路、金品二路两条市政道路，以及场地平整，两条市政道路等级均为城市支路，金洲五路道路设计长度为208.047m，道路红线宽度为18m，双向两车道；金品二路道路设计长度为331.504m，道路红线宽度为18m，双向两车道。</t>
  </si>
  <si>
    <t>珠高发投〔2022〕50号</t>
  </si>
  <si>
    <t>24</t>
  </si>
  <si>
    <t>智能制造产业园配套项目4（工业一路桥梁工程）、5（工业二路桥梁工程）</t>
  </si>
  <si>
    <t>本工程位于珠海市唐家湾金鼎组团，工业一路为城市主干路，北起中珠渠北路，南至中珠渠南路，道路设计长度约为225m，道路规划宽度为40m；工业二路为城市次干路，北起中珠渠北路，南至中珠渠南路，道路设计长度约为199m，道路规划宽度为40.5m。本项目除道路外，还包含两座桥梁，三座箱涵及管线、照明及景观等内容。</t>
  </si>
  <si>
    <t>珠高发投[2017]60号</t>
  </si>
  <si>
    <t>25</t>
  </si>
  <si>
    <t>智能电网装备制造产业园配套项目1、2（科技二路延长和科技四路）</t>
  </si>
  <si>
    <t>本工程位于高新区后患片区，科技二路延长段为城市主干路，西起金凤排洪渠，东至留诗路，道路设计长度为907米，宽度为34米；科技四路延长段为城市次干路，西起金凤排洪渠，东至留诗路，道路设计长度为895米，宽度为24米。</t>
  </si>
  <si>
    <t>2017-2020</t>
  </si>
  <si>
    <t>珠高发投[2016]146号</t>
  </si>
  <si>
    <t>26</t>
  </si>
  <si>
    <t>广东省珠海市大湾区智造产业园及配套服务设施项目——场平及围蔽工程（中心园区及A、B、D地块）</t>
  </si>
  <si>
    <t>华发集团</t>
  </si>
  <si>
    <t>本项目场地填土整平总面积738490.32m² ，其中中心园区场平面积493095.14m²，A区场平面积50206.03m²，B区场平面积53349.26m²，D区场平面积126893.15m²。</t>
  </si>
  <si>
    <t>2022-2022</t>
  </si>
  <si>
    <t>珠高发投审[2022]25号</t>
  </si>
  <si>
    <t>27</t>
  </si>
  <si>
    <t>翠湖香山配套道路工程</t>
  </si>
  <si>
    <t>翠湖香山小区周边配套道路。</t>
  </si>
  <si>
    <t>珠高发投〔2018〕185号</t>
  </si>
  <si>
    <t>28</t>
  </si>
  <si>
    <t>金永一路及金丰二路道路工程</t>
  </si>
  <si>
    <t>工程包含两条道路，道路总长度约为950m，其中金永一路长度为约505.9m，总体呈南北走向；金丰二路长度约443.8m，道路呈东西走向。两条道路等级均为城市支路，道路红线宽度均为18m。建设内容包括：道路工程、管线综合工程、交通工程、照明工程、景观工程等。</t>
  </si>
  <si>
    <t>珠高发投〔2019〕37号</t>
  </si>
  <si>
    <t>29</t>
  </si>
  <si>
    <t>后环公园景观提升工程</t>
  </si>
  <si>
    <t>项目位于高新区后环公园，主要工程内容为对后环公园景观提升，建设面积约24000平方米，建设内容包括园建工程、绿化工程、电气工程及给排水工程。</t>
  </si>
  <si>
    <t>珠高发投〔2021〕39号</t>
  </si>
  <si>
    <t>30</t>
  </si>
  <si>
    <t>金鼎科技工业园产业用地（金环东路南、金园三路东地块）场地排水改造工程</t>
  </si>
  <si>
    <t>对金鼎工业园周边排水渠进行改造。</t>
  </si>
  <si>
    <t>珠高发投〔2016〕123号</t>
  </si>
  <si>
    <t>31</t>
  </si>
  <si>
    <t>软件园路等市政道路路面改造工程（二期）</t>
  </si>
  <si>
    <t>二期工程实际共包含5条市政道路，其中2条城市次干路，3条城市支路，设计总长度3488.813m，实施总长度3065m。其中，前岛环路、前湾二路现状为双向4车道单幅路，其余道路为双向2车道单幅路。</t>
  </si>
  <si>
    <t>珠高发投〔2018〕181号</t>
  </si>
  <si>
    <t>32</t>
  </si>
  <si>
    <t>红花山公园工程</t>
  </si>
  <si>
    <t>高华城资</t>
  </si>
  <si>
    <t>主要工程内容为建设面积约68519.7㎡，其中包括建筑面积约270㎡（包括公园管理用房、服务用房和1处公共洗手间），园路建设面积约9518㎡，广场建设面积约1660㎡，绿化面积约15000㎡，公共停车场面积约3600㎡，木栈道面积约428㎡，景亭约50㎡等。</t>
  </si>
  <si>
    <t>珠高发投（2018）84号</t>
  </si>
  <si>
    <t>33</t>
  </si>
  <si>
    <t>北师大珠海分校附属外国语学校西侧市政道路工程</t>
  </si>
  <si>
    <t>项目位于高新区会同村UIC学校旁，新建一条市政道路。道路为柏叶林路，次干路，双向4车道，红线宽24m，设计总长约710m。建设内容包括：道路工程、给排水工程、缆线管沟工程、照明工程、道路绿化景观工程、交通设施等。</t>
  </si>
  <si>
    <t>珠高发投〔2020〕32号</t>
  </si>
  <si>
    <t>34</t>
  </si>
  <si>
    <t>金鸿六路延长段工程</t>
  </si>
  <si>
    <t>城市次干道，道路北起金峰西路，途经金恒一路，岐关路（省道S268），金品二路，终于金唐西路。全长786.31m，，道路规划宽度为34米。</t>
  </si>
  <si>
    <t>珠高发投[2017]71号</t>
  </si>
  <si>
    <t>35</t>
  </si>
  <si>
    <t>港湾大道(银坑段)西侧区域环境综合整治工程</t>
  </si>
  <si>
    <t>主要建设内容为银星社区体育公园及配套地下停车库（包含银星住宅小区围墙改造）、体育及休闲设施、高新区社区活动中心（规划公众参与基地）原址改造、1-2号楼外立面改造、公路局住宅外立面改造、周边地段环境风貌改造等。</t>
  </si>
  <si>
    <t>珠高发投〔2018〕90号</t>
  </si>
  <si>
    <t>36</t>
  </si>
  <si>
    <t>惠景和园项目配套市政道路工程</t>
  </si>
  <si>
    <t>项目位于金鼎圣皇头街，主要包括2条城市支路，设计总长741米。其中15米宽规划一路515米，24米宽规划二路227米。</t>
  </si>
  <si>
    <t>珠高发投〔2018〕105号</t>
  </si>
  <si>
    <t>37</t>
  </si>
  <si>
    <t>蔚海路道路改造工程</t>
  </si>
  <si>
    <t>项目位于后环片区，包括蔚海路半幅（原远大北一路）道路长772.72米，及蔚蓝路长301.26米。</t>
  </si>
  <si>
    <t>珠高发投〔2019〕88号</t>
  </si>
  <si>
    <t>38</t>
  </si>
  <si>
    <t>X588县道（淇澳大桥桥头至淇澳北站）路面及景观提升改造工程</t>
  </si>
  <si>
    <t>城市支路，从淇澳大桥桥头至淇澳北站。全长4.25km，道路宽度12~19.5米。</t>
  </si>
  <si>
    <t>珠高发投[2020]79号</t>
  </si>
  <si>
    <t>39</t>
  </si>
  <si>
    <t>软件园路等市政道路路面改造工程（一期）</t>
  </si>
  <si>
    <t>软件园路等市政道路路面改造工程(一期)位于位于珠海市高新区，软件园路，施工总长度1893.000m。华夏路，施工总长度1193184m。唐乐路(西段)，施工总长度997.297m。施工总长度412m。</t>
  </si>
  <si>
    <t>40</t>
  </si>
  <si>
    <t>科技创新海岸园区及前环片区设置交通信号灯设施工程</t>
  </si>
  <si>
    <t>项目位于高新区南围片区和前环片区，工程包括12个道路交叉口，其中南围片区7个、前环片区5个包含：碧云路-情侣北。工程内容包括新增信号灯工程，包含对交叉口进行信号灯系统及电子警察系统的完善。</t>
  </si>
  <si>
    <t>2021-2021</t>
  </si>
  <si>
    <t>珠高发投〔2021〕45号</t>
  </si>
  <si>
    <t>41</t>
  </si>
  <si>
    <t>珠海市高新区东岸留诗山片区人居环境整治续建工程</t>
  </si>
  <si>
    <t>本项目位于东岸村社区留诗山片区，设计面积约4公顷，主要建设内容包括入口门阙、上山道路提升，旧船厂拆迁后区域修复及游步道建设。</t>
  </si>
  <si>
    <t>珠高发投审〔2022〕12号</t>
  </si>
  <si>
    <t>42</t>
  </si>
  <si>
    <t>唐家湾后环海堤 K2+365～K2+495 段滑移段抢险工程</t>
  </si>
  <si>
    <t>130米海堤发生滑移事故，包括：堤防后方场地堆土卸载，堤防内侧钢板桩加固，修建临时便道及堤防外海侧反压平台及港池回填。</t>
  </si>
  <si>
    <t>2020-2020</t>
  </si>
  <si>
    <t>珠高专题会纪〔2021〕237（2021年高新区第九次城建联席会议纪要</t>
  </si>
  <si>
    <t>43</t>
  </si>
  <si>
    <t>后环公园工程</t>
  </si>
  <si>
    <t>主要工程内容为建设面积约55388㎡。其中包括建筑面积约214㎡，停车场约1910㎡，道路面积约4468㎡，绿化面积约23847㎡等。</t>
  </si>
  <si>
    <t>珠高发投（2018）100号</t>
  </si>
  <si>
    <t>44</t>
  </si>
  <si>
    <t>清华科技园二期公共配套工程（园区绿化等配套改造一期工程）</t>
  </si>
  <si>
    <t>园区绿化等配套。</t>
  </si>
  <si>
    <t>珠高发投（2017）81号</t>
  </si>
  <si>
    <t>45</t>
  </si>
  <si>
    <t>珠海市高新区金鼎东路新建工程（一期）</t>
  </si>
  <si>
    <t>项目位于高新区金鼎片区，金鼎东路起点接中珠渠南路，设计终点接鸿新街，道路全长1067.32米，道路宽34米，规划道路等级为城市次干路；鸿新街起点接金鼎东路，设计终点接京珠高速西侧辅道相接，道路全长141.08米，道路宽15米，规划道路等级为城市支路。</t>
  </si>
  <si>
    <t>珠高发投审〔2021〕9号</t>
  </si>
  <si>
    <t>46</t>
  </si>
  <si>
    <t>中珠渠南路综合整治及景观提升工程</t>
  </si>
  <si>
    <t>主要工程内容为建筑面积约420㎡，其中包括公园管理用房、设备房、服务站和5处公共洗手间，建设园路约13882㎡、广场面积约12303㎡、公共停车场面积约2307㎡，绿化面积约47410㎡，建设球场面积约4220㎡，其中1个足球场、2个篮球场、3个羽毛球场等。</t>
  </si>
  <si>
    <t>珠高发投（2017）91号</t>
  </si>
  <si>
    <t>47</t>
  </si>
  <si>
    <t>金唐东路提升改造工程</t>
  </si>
  <si>
    <t>城市主干道，西起金凤路交叉口，东与金唐东路二期相接。全长1.60km，道路宽度50米。</t>
  </si>
  <si>
    <t>珠高发投[2021]31号</t>
  </si>
  <si>
    <t>交通基础设施项目</t>
  </si>
  <si>
    <t>48</t>
  </si>
  <si>
    <t>信息港项目配套市政道路及桥梁工程</t>
  </si>
  <si>
    <t>建设一条次干路（含一座跨金凤排洪渠桥梁以及两座跨留诗山排洪渠箱涵），道路西与金凤路相接，东至东港街，道路红线宽度24米，设计长度267.269米，跨金凤排洪渠桥梁为3*18米预应力砖空心板桥，跨留诗山排洪渠箱涵为6.5*3米箱涵。</t>
  </si>
  <si>
    <t>珠高发投(2018)7号</t>
  </si>
  <si>
    <t>49</t>
  </si>
  <si>
    <t>科技创新海岸南围片区市政道路提升工程</t>
  </si>
  <si>
    <t>本工程位于珠海高新区科技创新海岸，主要工作内容为改造提升长度约为16.48km市政道路20条。</t>
  </si>
  <si>
    <t>珠高发投〔2018〕111号</t>
  </si>
  <si>
    <t>50</t>
  </si>
  <si>
    <t>红花山森林公园（二期）</t>
  </si>
  <si>
    <t>花山森林公园（二期）工程位于珠海市香洲区唐家湾镇红花山，东面邻近港珠湾山庄、凤凰山一号、银泉山庄别墅等高端社区。项目主要建设内容有篮球场、足球场、网球场、儿童乐园、登山道等。</t>
  </si>
  <si>
    <t>珠高发投〔2019〕93号</t>
  </si>
  <si>
    <t>51</t>
  </si>
  <si>
    <t>金鼎工业园金永二路和金丰一路市政道路工程</t>
  </si>
  <si>
    <t>本工程位于金永一路西侧，道路总长1077.705米，其中：金丰一路为城市主干路，长约196米，红线宽度34米；金永二路为城市次干路，长约638米，红线宽度32米；金丰三路为城市支路，长约243米，红线宽度18米。</t>
  </si>
  <si>
    <t>珠高发投〔2021〕57号</t>
  </si>
  <si>
    <t>52</t>
  </si>
  <si>
    <t>银坑小学配套道路工程</t>
  </si>
  <si>
    <t>银坑小学周边配套道路。</t>
  </si>
  <si>
    <t>珠高发投〔2019〕118号</t>
  </si>
  <si>
    <t>53</t>
  </si>
  <si>
    <t>广东省珠海市大湾区智造产业园及配套服务设施项目——产业园区配套工程（C片区防洪减灾工程）</t>
  </si>
  <si>
    <t>新建潭井水库排洪渠，C地块配套截洪沟、雨水渠及边坡防护。</t>
  </si>
  <si>
    <t>珠高发投审〔2022〕66号</t>
  </si>
  <si>
    <t>54</t>
  </si>
  <si>
    <t>省道S268线（金唐西路交叉口至金峰西路交叉口段）路面改造工程</t>
  </si>
  <si>
    <t>本工程(2018-440402-48-01-8845059)位于珠海高新区，本项目南起金唐西路，北至金峰路，全长38千米，现状为双向两车道，路面宽度75米，主要工程内容为道路工程、交通工程等。</t>
  </si>
  <si>
    <t>珠高发投〔2019〕76号</t>
  </si>
  <si>
    <t>55</t>
  </si>
  <si>
    <t>珠海市高新区工业园区交通组织优化提升基础设施项目(一期)</t>
  </si>
  <si>
    <t>格力建投</t>
  </si>
  <si>
    <t>本工程位于高新区金鼎工业园及科创海岸南围片区，实施内容包括对两个园区内的66座公交站台进行新建、改造，其中金鼎片区25座，科创海岸南围片区31座。改造内容为：新建港湾巴士站或现有直线式巴士站改造为港湾式巴士站，相应调整人行道与非机动车道线型，并对范围内管线、路灯及行道树进行迁移。工程建设内容包括：道路工程、交通工程、管线工程、照明工程、景观工程等。</t>
  </si>
  <si>
    <t>珠高发投审（2022）60号</t>
  </si>
  <si>
    <t>56</t>
  </si>
  <si>
    <t>珠海市高新区2022年大南山森林公园防火通道地质灾害隐患点治理工程</t>
  </si>
  <si>
    <t>本工程位于高新区大南山，主要建设内容为大南山森林公园防火通道下方边坡水土流失点2处，上方边坡崩塌（滑坡）点14处，主要对边坡水土流失点及边坡崩塌（滑坡）点进行边坡治理（含清表、挡墙砌筑、铺设三维土工网、锚杆及注浆加固、表面客土喷播等施工内容）。</t>
  </si>
  <si>
    <t>/</t>
  </si>
  <si>
    <t>57</t>
  </si>
  <si>
    <t>珠海市情侣北路（南段）排洪水系建设工程</t>
  </si>
  <si>
    <t>本工程位于高新区情侣北路（南段），主要内容包括新建两条排洪渠，1#排洪渠全长2034米；2#排洪渠长约886米。</t>
  </si>
  <si>
    <t>2016-2019</t>
  </si>
  <si>
    <t>珠高发改〔2015〕235号</t>
  </si>
  <si>
    <t>58</t>
  </si>
  <si>
    <t>信息港项目配套市政道路工程</t>
  </si>
  <si>
    <t>A、B号路两条支路，其中，A号路为城市支路，道路红线宽度18m，道路设计长度380.316m，施工长度304.316m；B号路为城市支路等级，道路红线宽度12m，双向两车道，设计长度263.901m，施工长度197.867m。</t>
  </si>
  <si>
    <t>珠高发投(2016)55号</t>
  </si>
  <si>
    <t>59</t>
  </si>
  <si>
    <t>高新区金鼎片区生物医药产业园配套基础设施新建工程（一期）</t>
  </si>
  <si>
    <t>本项目工程内容为金峰路-中珠渠北路段跨线桥及两端交叉口，总长约165m，道路等级为次干路，跨线桥范围双向6车道，标准桥宽40.5m。南侧衔接金峰路，道路等级为主干路，双向6车道，道路红线宽度36m；北侧与中珠渠北路衔接，道路等级为次干路，双向4车道，道路红线宽度24m。</t>
  </si>
  <si>
    <t>珠高发投审（2022）44号</t>
  </si>
  <si>
    <t>60</t>
  </si>
  <si>
    <t>凤凰山防火通道工程</t>
  </si>
  <si>
    <t>本工程位于珠海高新区辖区内凤凰山山脉，具体包括杨寮水库周边、南山、小南山、大迳顶、凤凰山、白竹岭、正坑水库周边等。主要工程内容包括森林防火道路系统、简易森林扑火通道、森林消防供水系统、森林防火基础设施系统、森林防火视频监控和标志标识等辅助系统。</t>
  </si>
  <si>
    <t>珠高发投[2018]228号</t>
  </si>
  <si>
    <t>61</t>
  </si>
  <si>
    <t>高新区银星花园老旧小区改造工程</t>
  </si>
  <si>
    <t>1.小区基础类改造：楼梯间公共部位翻新并统一规划改造；2.小区环境整治：道路翻新为沥青路面、绿化修缮；3.小区配套改造：围墙局部修缮、增加停车位、增设垃圾房、道路新增路灯；4.小区室外管线整治：通讯管网（含广电）下地暗埋、雨污水管网（含化粪池）改造、疏通、修缮。</t>
  </si>
  <si>
    <t>珠高发投〔2022〕44号</t>
  </si>
  <si>
    <t>62</t>
  </si>
  <si>
    <t>华发蔚蓝堡幼儿园东侧配套市政道路工程</t>
  </si>
  <si>
    <t>为城市次干道，北起情侣北路，南至远大北一路，道路规划宽度为24米，设计长度约为304.698m。</t>
  </si>
  <si>
    <t>珠高发投〔2017〕144号</t>
  </si>
  <si>
    <t>63</t>
  </si>
  <si>
    <t>情侣北路南段海堤修复工程</t>
  </si>
  <si>
    <t>设计内容主要包括情侣北路南段海堤修复约4.8km，设计标准100年一遇。</t>
  </si>
  <si>
    <t>珠高发投〔2018〕159号</t>
  </si>
  <si>
    <t>64</t>
  </si>
  <si>
    <t>珠海市高新区金鼎片区金鸿六路西侧、岐关路南侧区域整治工程</t>
  </si>
  <si>
    <t>优特用地场平项目</t>
  </si>
  <si>
    <t>珠高发投〔2022〕43号</t>
  </si>
  <si>
    <t>65</t>
  </si>
  <si>
    <t>淇澳红树林海堤加固达标工程</t>
  </si>
  <si>
    <t>工程等级2级，960米海堤加固及重建西涌水闸一座。</t>
  </si>
  <si>
    <t>2016-2017</t>
  </si>
  <si>
    <t>珠高发投〔2018〕155号</t>
  </si>
  <si>
    <t>66</t>
  </si>
  <si>
    <t>鸡山排洪渠截污整治工程(二期)</t>
  </si>
  <si>
    <t>主要工程内容为截污18处，新建D300-D500截污管约2.0千米等。</t>
  </si>
  <si>
    <t>珠高发投〔2018〕72号</t>
  </si>
  <si>
    <t>67</t>
  </si>
  <si>
    <t>唐淇路(蔚海路至淇澳大桥南及淇澳大桥北约537米)道路修复改造工程</t>
  </si>
  <si>
    <t>对道路修复改造约2000米，包括道路工程、排水工程、绿化景观工程、交通工程。</t>
  </si>
  <si>
    <t>珠高发投(2022)45号</t>
  </si>
  <si>
    <t>68</t>
  </si>
  <si>
    <t>情侣北路（南段）片区（珠国土储2012-13地块）市政道路工程（一期）</t>
  </si>
  <si>
    <t>本工程位于情侣北路(南段)片区，本项目规模为建设总长度约为590米、宽18米市政道路，工程主要内容包括道路(含软基处理)、管线、交通安全、照明、绿化、景观、电力及通讯管沟(排管)等其它附属设施。</t>
  </si>
  <si>
    <t>珠高发改高新〔2015〕85号</t>
  </si>
  <si>
    <t>69</t>
  </si>
  <si>
    <t>广东省珠海市大湾区智造产业园规划三路、规划四路及周边市政配套设施项目</t>
  </si>
  <si>
    <t>本工程位于珠海市高新区金鼎片区，本工程建设规模包括2条支路、1条截洪沟。其中市政道路包括规划三路、规划四路，设计总长约374m，实施总长约392m;截洪沟总长约211m。项目建设内容包括道路工程、管线工程、照明工程、安监工程、交通工程、景观工程、海绵城市、截洪沟工程、管线(铁塔)迁改以及戒毒所围墙及门岗还建等。</t>
  </si>
  <si>
    <t>2023-2024</t>
  </si>
  <si>
    <t>珠高发投审〔2023〕11号</t>
  </si>
  <si>
    <t>70</t>
  </si>
  <si>
    <t>水环境综合整治2.0项目（排洪渠及正本清源工程第一批）</t>
  </si>
  <si>
    <t>本工程位于高新区，北理工排洪渠岸墙修复及周边环境整治工程作为高新区水环境综合整治2.0项目（排洪渠及正本清源工程第一批），项目主要建设建设内容包括：对排洪渠现状破损边坡进行修复，修复面积约500m2；现状排污口截留1处；现状水土流失严重的边坡采用种植土+绿化进行修复，修复面积约24000m2；排洪渠沿线打造亲水碧道。</t>
  </si>
  <si>
    <t>珠高发投审〔2022〕113号</t>
  </si>
  <si>
    <t>71</t>
  </si>
  <si>
    <t>唐家共乐大花园工程</t>
  </si>
  <si>
    <t>主要工程内容为建设公园管理用房、书吧、公厕、服务中心和驿站面积约740㎡，公园广场面积约6900㎡，公共停车场约3340㎡，园路共10400㎡，绿化景观改造约42190㎡等。</t>
  </si>
  <si>
    <t>珠高发投（2017）39号</t>
  </si>
  <si>
    <t>72</t>
  </si>
  <si>
    <t>高新区“四好农村路”改造工程</t>
  </si>
  <si>
    <t>对那洲社区村道进行提升改造，总长度约3km</t>
  </si>
  <si>
    <t>珠高发投〔2020〕11号</t>
  </si>
  <si>
    <t>城乡区域协调发展项目</t>
  </si>
  <si>
    <t>73</t>
  </si>
  <si>
    <t>下新街建设工程</t>
  </si>
  <si>
    <t>项目位于高新区金园路北，恒大云锦花园东侧，为城市支路，双向2车道，红线宽18m，设计总长约176m。建设内容包括：道路工程、给排水工程、缆线管沟工程、照明工程、道路绿化景观工程、交通设施等。</t>
  </si>
  <si>
    <t>珠高发投〔2022〕40号</t>
  </si>
  <si>
    <t>74</t>
  </si>
  <si>
    <t>鸡山排洪渠一河两岸工程</t>
  </si>
  <si>
    <t>主要工程内容为整治鸡山排洪渠两岸景观，设计长度约1116米，设计范围约5.2公顷，包括绿化工程、景观工程、建筑工程、给排水工程、桥梁工程及电气工程等。</t>
  </si>
  <si>
    <t>珠高发投〔2018〕121号</t>
  </si>
  <si>
    <t>75</t>
  </si>
  <si>
    <t>金凤路排洪渠东侧修建污水主干管工程</t>
  </si>
  <si>
    <t>本工程位于高新区金凤排洪渠东侧，主要工程内容为新建D600~D1000污水管长约2453米。</t>
  </si>
  <si>
    <t>珠高发投〔2017〕79号</t>
  </si>
  <si>
    <t>76</t>
  </si>
  <si>
    <t>2019年度高新区地质灾害点治理工程（港湾大道美丽湾东北侧约100米和400米处道路旁地质灾害点）</t>
  </si>
  <si>
    <t>主要工程内容为坡面总面积约为5081平方米，坡面修整挖土方约3450立方米，喷射混泥土1488.38平方米，客土喷播1303.75平方米，新建水沟94.55米，铺设挂网6721.13平方米，种植灌木及爬藤约3436株等。</t>
  </si>
  <si>
    <t>珠高发投（2020）1号</t>
  </si>
  <si>
    <t>77</t>
  </si>
  <si>
    <t>下村市政道路工程</t>
  </si>
  <si>
    <t>项目位于珠海高新区下村中海星筑旁，新建道路长度约212.48米，起点与港湾大道接驳，终点与中海星筑地库出入口相连，为中海星筑目前唯一的市政配套道路工程，道路至起点起至桩号150.39为双向4车道，宽24米，桩号150.39至212.48为双向2车道，宽7.25米。包括道路工程、交通工程、给排水工程、电气工程、通信电缆沟等。</t>
  </si>
  <si>
    <t>珠高发投〔2021〕27号</t>
  </si>
  <si>
    <t>78</t>
  </si>
  <si>
    <t>港湾大道（金鼎红绿灯路口至金凤路口段）架空线下地工程</t>
  </si>
  <si>
    <t>本工程(项目编码:2017-440402-48-01-818845)位于珠海高新区港湾大道(金鼎红绿灯路口至金凤路口段)工程主要内容为架空线下地约1250米，包括拆除架空线杆、新增开关箱、提升检查井等。</t>
  </si>
  <si>
    <t>珠高发投〔2018〕4号</t>
  </si>
  <si>
    <t>79</t>
  </si>
  <si>
    <t>金唐D路（北段及延长段）市政道路工程</t>
  </si>
  <si>
    <t>全长约760米，其中北段长度486.70m，路幅宽度12m，延长段长度270.57m，路幅宽度18m。</t>
  </si>
  <si>
    <t>2016-2018</t>
  </si>
  <si>
    <t>80</t>
  </si>
  <si>
    <t>那洲后朗排洪渠综合整治工程</t>
  </si>
  <si>
    <t>位于那洲后朗排洪渠，将排入渠道的污水截污纳管，并对现状排洪渠约400米的渠道清淤，新增暗涵水闸等，综合改造范围全长约0.92千米。</t>
  </si>
  <si>
    <t>珠高发投〔2020〕87号</t>
  </si>
  <si>
    <t>81</t>
  </si>
  <si>
    <t>大南山森林公园防火通道边坡加固覆绿工程</t>
  </si>
  <si>
    <t>工程位于中山大学珠海校区内，工程主要建设内容包括：防护工程、绿化工程及排水工程等。</t>
  </si>
  <si>
    <t>珠高发投（2020）17号</t>
  </si>
  <si>
    <t>82</t>
  </si>
  <si>
    <t>淇澳大桥污水提升泵站配套管网工程</t>
  </si>
  <si>
    <t>淇澳大桥污水提升泵站配套管网建设，包括进水管及出水管，总长约1000m。</t>
  </si>
  <si>
    <t>珠高发投（2017）120号</t>
  </si>
  <si>
    <t>83</t>
  </si>
  <si>
    <t>留诗山排洪渠（东岸片区段）截污整治工程</t>
  </si>
  <si>
    <t>本工程位于高新区东岸社区，工程主要内容为留诗山排洪渠（东岸片区段）截污管道的敷设，规模为新建污水截流干管DN400-DN600,主管总长约1345米。</t>
  </si>
  <si>
    <t>2015-2016</t>
  </si>
  <si>
    <t>珠发改高新（2014）74号</t>
  </si>
  <si>
    <t>84</t>
  </si>
  <si>
    <t>UIC校园二期项目红线内高压电线迁改</t>
  </si>
  <si>
    <t>拆除原架空线、杆塔、原有电缆，新建公用户外开关箱、新建架空线。</t>
  </si>
  <si>
    <t>珠高发投〔2021〕77号</t>
  </si>
  <si>
    <t>85</t>
  </si>
  <si>
    <t>中珠渠南路（南围段）及港湾北路路灯安装工程</t>
  </si>
  <si>
    <t>项目位于金鼎，主要建设内容为路灯及路灯箱变安装，道路全长约为1852米，路灯113杆，箱变一个，预算资金209.63万，施工合同价178.13万。</t>
  </si>
  <si>
    <t>珠高发投〔2018〕226号</t>
  </si>
  <si>
    <t>86</t>
  </si>
  <si>
    <t>珠海市高新区金鼎花园老旧小区改造工程</t>
  </si>
  <si>
    <t>建设范围：高新区金鼎花园小区。建设内容：1.建筑本体修缮：楼梯和公共空间更新改造、建筑外立面改造、屋面整修、节能改造、无障碍及适老化设施改造、建筑配套 设施改造等； 2.基础设施改造：小区道路整治、给排水设施改造、供配电 和照明设施改造、智慧设施改造建设、燃气设施改造、垃圾分类与环卫设施改造、消防安全保障、无障碍设施改造等； 3.小区环境整治：小区风貌整治、公共空间改造、绿化环境 整治、停车设施整治、标识系统改造； 4.服务设施提升：文体活动设施改造、功能性服务设施改造等。</t>
  </si>
  <si>
    <t>珠高发投〔2023〕31号</t>
  </si>
  <si>
    <t>87</t>
  </si>
  <si>
    <t>唐南路延长段工程</t>
  </si>
  <si>
    <t>项目位于高新区，整体呈南北走向，北起华夏学校（北师大珠海附中）路，沿马山山脚绕唐家老村外围，南与已建唐南路相连，接至港湾大道，道路设计全长约1130.466米。主要建设内容包括道路工程、交通工程、安监工程、管线工程、照明工程、绿化景观工程等。</t>
  </si>
  <si>
    <t>2017-2022</t>
  </si>
  <si>
    <t>珠高发投[2017]61号</t>
  </si>
  <si>
    <t>88</t>
  </si>
  <si>
    <t>金凤排洪渠（南围段）及场地平整工程</t>
  </si>
  <si>
    <t>项目位于高新区南围及后环片区，上游接已建成的金凤排洪渠防洪墙，下游接预留的南围水闸位置。本工程拟进行整治河长1.483km,新建护岸2.966km,滩地平整0.35km2，主要建设内容包括渠道工程、河道整治工程、清淤疏浚工程、滩地平整工程、景观防护工程等。</t>
  </si>
  <si>
    <t>珠高发投〔2018〕70号</t>
  </si>
  <si>
    <t>89</t>
  </si>
  <si>
    <t>UIC新校区道路北延段工程</t>
  </si>
  <si>
    <t>项目位于高新区，共有市政道路2条，次干路等级，设计总长度2948.142 mm。项目起点接“UIC新校区项目市政配套路工程（在建）”，终点与现状金唐西路相交。道路等级为城市次干路，道路红线宽度为24 m，设计行车速度：30km/h。主要建设内容包括道路工程、污水工程、雨水工程、给水工程、预留沟工程、电缆沟工程、照明工程、通信管沟工程、交通设施、安监设施、绿化景观工程等，并预留燃气管位。</t>
  </si>
  <si>
    <t>珠高发投〔2017〕80号</t>
  </si>
  <si>
    <t>90</t>
  </si>
  <si>
    <t>宁堂村口环境整治工程</t>
  </si>
  <si>
    <t>工程位于珠海高新区金凤路东侧，主要建设内容为对宁堂村口进行环境整治，整治面积约10793平方米，包括景观工程、绿化工程、给排水工程和电气工程等。</t>
  </si>
  <si>
    <t>珠高发投〔2021〕49号</t>
  </si>
  <si>
    <t>91</t>
  </si>
  <si>
    <t>高新区垃圾分类宣传教育基地工程</t>
  </si>
  <si>
    <t>项目位于珠海市高新区唐淇路垃圾收纳场垃圾分拣中心。设计总面积约877平方米，设有科普区、互动体验区和手工科普教室。主要建设内容包括新建门窗，室内墙面、天花制作，安装成品柜、垃圾降解周期沙盘、垃圾分类魔法墙、垃圾利用率宣教电子书等装饰装修工程。</t>
  </si>
  <si>
    <t>珠高发投（2021）47号</t>
  </si>
  <si>
    <t>92</t>
  </si>
  <si>
    <t>京珠高速辅道污水主干管改造工程</t>
  </si>
  <si>
    <t>本工程位于高新区京珠高速辅道，主要工程内容：(1)新建管径为D1500污水干管约586米，采用顶管工艺进行施工；(2)对京珠高速辅道起点至珠海华熙大众亚洲旗舰店前的现状污水干管进行清淤和检测。</t>
  </si>
  <si>
    <t>珠高发投[2017]5号</t>
  </si>
  <si>
    <t>93</t>
  </si>
  <si>
    <t>淇澳红树林景观改造工程</t>
  </si>
  <si>
    <t>对淇澳红树林周边景观改造。</t>
  </si>
  <si>
    <t>珠高发投〔2020〕80号</t>
  </si>
  <si>
    <t>94</t>
  </si>
  <si>
    <t>唐中支路工程</t>
  </si>
  <si>
    <t>新建道路实施长度约208m，总体走向为南北走向，道路等级为城市支路，红线宽度为15m。建设内容包括：道路工程、管线综合工程、交通工程、照明工程、景观工程等。</t>
  </si>
  <si>
    <t>珠高发投〔2021〕12号</t>
  </si>
  <si>
    <t>95</t>
  </si>
  <si>
    <t>金凤排洪渠东侧环境整治工程</t>
  </si>
  <si>
    <t>工程位于珠海高新区金凤排洪渠东侧，主要建设内容为对金凤排洪渠东侧进行环境整治，整治面积约15412平方米，包括景观工程、绿化工程、给排水工程和电气工程等。</t>
  </si>
  <si>
    <t>珠高发投〔2021〕48号</t>
  </si>
  <si>
    <t>96</t>
  </si>
  <si>
    <t>鸡山排洪渠截污整治工程</t>
  </si>
  <si>
    <t>修建D400-500截污长约660米污水管道及1600米渠道清淤。</t>
  </si>
  <si>
    <t>2014-2015</t>
  </si>
  <si>
    <t>珠发改高新（2014）79号</t>
  </si>
  <si>
    <t>97</t>
  </si>
  <si>
    <t>淇澳社区污水处理工程</t>
  </si>
  <si>
    <t>1座生态处理池、污水管网约700米、绿道面积约2358㎡、绿化面积约1469㎡。</t>
  </si>
  <si>
    <t>珠高发投〔2019〕15号</t>
  </si>
  <si>
    <t>98</t>
  </si>
  <si>
    <t>金鼎中学后门道路改造提升工程</t>
  </si>
  <si>
    <t>该项目位于金鼎片区，接金唐东路跟歧关路，长度380米，双向两车道，工程内容为路面提升改造。</t>
  </si>
  <si>
    <t>珠高发投〔2019〕97号</t>
  </si>
  <si>
    <t>99</t>
  </si>
  <si>
    <t>金鼎敬老院南侧配套道路金文路西延段工程</t>
  </si>
  <si>
    <t>该项目为新建道路，设计长度237.12米，规划为城市支路，宽20米。新建市政道路，包括交通工程、绿化工程、照明工程、通信工程、给排水工程、预留燃气管道等。</t>
  </si>
  <si>
    <t>珠高发投〔2021〕22号</t>
  </si>
  <si>
    <t>100</t>
  </si>
  <si>
    <t>淇澳水文塔周边环境改造工程</t>
  </si>
  <si>
    <t>项目位于淇澳岛东南面，临珠海国家学校，工程主要以小区域内的环境整治为主，设计面积约8100㎡，实施范围基本处于现有海堤平台上，沥青面积约296㎡，铺装面积约2951㎡（其中花岗岩2596.53㎡），绿化面积约4385㎡，海绵城市面积约304㎡，其主要建设内容：在海堤平台新建步道；新建海堤栏杆；新建给排水及照明系统；新建海绵城市；新建绿化；翻新水文塔外立面及其附属连桥等。</t>
  </si>
  <si>
    <t>珠高发投〔2021〕42号</t>
  </si>
  <si>
    <t>101</t>
  </si>
  <si>
    <t>金峰西路路面提升工程</t>
  </si>
  <si>
    <t>本项目位于珠海高新区金峰西路，道路全场2.7km，道路等级为城市次干路，双向4车道，主要工程内容包括道路路面加铺沥青、交通设施工程、治安监控设施、管线工程、绿化工程、以及增设金峰西路交金鸿六路路口设置等。</t>
  </si>
  <si>
    <t>珠高发投〔2017〕132号</t>
  </si>
  <si>
    <t>102</t>
  </si>
  <si>
    <t>下栅社区公园（二期）工程</t>
  </si>
  <si>
    <t>位于高新区港湾大道官塘巴士站区域，占地面积7060平方米，其中绿化面积约1992平方米。设计内容包括篮球场、羽毛球场、儿童活动区、广场等。</t>
  </si>
  <si>
    <t>珠高发投〔2020〕33号</t>
  </si>
  <si>
    <t>103</t>
  </si>
  <si>
    <t>北京师范大学（珠海）附属高级中学人行过街设施工程</t>
  </si>
  <si>
    <t>本工程位于北京师范大学（珠海）附属高级中学正门前，本工程新建1座钢箱梁人行天桥，天桥长度29.8m，桥面款4.3m，净宽4.0m，桥面面积335㎡，祝桥中心线与华夏路正交，跨越现状车行道，桥下净空不小于5m等。</t>
  </si>
  <si>
    <t>珠高发投[2016]101号</t>
  </si>
  <si>
    <t>104</t>
  </si>
  <si>
    <t>区生活垃圾分拣中心</t>
  </si>
  <si>
    <t>本项目建设内容为生活垃圾分拣中心，主要为一层轻钢结构，项目位于唐家垃圾填埋场一侧，建筑物地上1 层，地下 0 层，建筑一总高度5.3米，建筑二总高度4.5米，总用地面积约3739.41㎡，总建筑面积约1647.86㎡；</t>
  </si>
  <si>
    <t>珠高发投[2020]86号</t>
  </si>
  <si>
    <t>105</t>
  </si>
  <si>
    <t>金凤桥西侧防风林环境整治（二期）工程</t>
  </si>
  <si>
    <t>对金凤桥周边环境整治工程。</t>
  </si>
  <si>
    <t>2019-2019</t>
  </si>
  <si>
    <t>珠高发投〔2021〕4号</t>
  </si>
  <si>
    <t>106</t>
  </si>
  <si>
    <t>科技创新海岸园区文体公园工程</t>
  </si>
  <si>
    <t>本项目位于高新区科技创新海岸，附近工厂较多，项目以完善区域活动空间为主，主要建设内容包括运动场地、活动广场、驿站、休闲观景区等。</t>
  </si>
  <si>
    <t>珠高发投〔2019〕87号</t>
  </si>
  <si>
    <t>107</t>
  </si>
  <si>
    <t>高新区2019年森林碳汇工程</t>
  </si>
  <si>
    <t>主要内容包括治理面积约532800平方米，其中套种补植套种326340平方米、更新改造206460平方米、永久性宣传牌1个等</t>
  </si>
  <si>
    <t>珠高发投（2019）91号</t>
  </si>
  <si>
    <t>108</t>
  </si>
  <si>
    <t>那洲涌景观及水质整治工程</t>
  </si>
  <si>
    <t>后朗沟下游900米及那溪河整治长度约为下游850米清淤整治、水质处理。</t>
  </si>
  <si>
    <t>珠发改高新[2014]6号</t>
  </si>
  <si>
    <t>109</t>
  </si>
  <si>
    <t>原永丰猪场地块场地平整工程</t>
  </si>
  <si>
    <t>主要工程内容为场地平整、附着物拆除，树木清理4.5万平方，挖运土方约6万方。</t>
  </si>
  <si>
    <t>珠高发投〔2022〕32号</t>
  </si>
  <si>
    <t>110</t>
  </si>
  <si>
    <t>会同村道路面提升工程</t>
  </si>
  <si>
    <t>主要工程内容为铺设沥青罩面16214平方米，混凝土仿花岗岩侧石5886米，水泥板块病害处理约2159平方米等。</t>
  </si>
  <si>
    <t>珠高发投〔2019〕106号</t>
  </si>
  <si>
    <t>111</t>
  </si>
  <si>
    <t>金凤路凤凰山隧道北侧中央隔离带等改造提升工程</t>
  </si>
  <si>
    <t>金凤路凤凰山隧道北侧中央隔离带等改造提升工程位于金凤路。北起金凤路交港湾大道路口，南至北师大隧道出口，总长约4060米，实施内容包括金凤路中央隔离带新建绿化及改造绿化、北师大隧道上方导流岛新建绿化、绿化给水安装等。</t>
  </si>
  <si>
    <t>珠高发投〔2021〕71号</t>
  </si>
  <si>
    <t>112</t>
  </si>
  <si>
    <t>高新区2020年度森林碳汇造林工程</t>
  </si>
  <si>
    <t>项目位于高新区唐家湾镇中山大学珠海校区内的林地和凤凰山隧道（高新区往香洲区方向左侧）附近。造林总面积约532800平方米，本项目主要内容包括补植套种、更新改造、林地清理等。</t>
  </si>
  <si>
    <t>珠高发投〔2021〕69号</t>
  </si>
  <si>
    <t>113</t>
  </si>
  <si>
    <t>高新区2021年高质量水源林造林工程</t>
  </si>
  <si>
    <t>本项目造林总面积约533333平方米，本项目主要内容套种补植套种约306360平方米、更新改造、林地清理、开设山路等。</t>
  </si>
  <si>
    <t>珠高发投〔2021〕72号</t>
  </si>
  <si>
    <t>114</t>
  </si>
  <si>
    <t>上栅社区污水处理工程</t>
  </si>
  <si>
    <t>本工程整治渠道全长约为350米，在排水渠上驾设1座500m3/d的一体化污水处理设施等工程。</t>
  </si>
  <si>
    <t>2016-2016</t>
  </si>
  <si>
    <t>珠发改高新〔2015〕101号</t>
  </si>
  <si>
    <t>115</t>
  </si>
  <si>
    <t>辖区台风受损海堤挡墙及护栏等修复工程</t>
  </si>
  <si>
    <t>受山竹台风影响的美丽湾至淇澳岛范围内受损海堤挡墙、步道、护栏及绿化进行修复。</t>
  </si>
  <si>
    <t>珠高发投〔2021〕36号</t>
  </si>
  <si>
    <t>116</t>
  </si>
  <si>
    <t>淇澳红树林公共停车场工程</t>
  </si>
  <si>
    <t>增加淇澳红树林公共停车场。</t>
  </si>
  <si>
    <t>珠高发投〔2020〕76号</t>
  </si>
  <si>
    <t>117</t>
  </si>
  <si>
    <t>京珠高速西辅道主干管清淤及普查工程</t>
  </si>
  <si>
    <t>本工程位于珠海高新区，主要建设内容为 DN400管道清淤约 33米、DN1500 管道清淤约967米，淤泥弃运共约 1160 立方米。</t>
  </si>
  <si>
    <t>珠高发投[2019]6号</t>
  </si>
  <si>
    <t>118</t>
  </si>
  <si>
    <t>高新区公路安全生命防护工程</t>
  </si>
  <si>
    <t>主要工程内容为改善行车安全实施的标志线约5230㎡、护栏约580m、警示桩约1024个、减速设施、完善边沟排水设施、警示设施等。</t>
  </si>
  <si>
    <t>珠高发投 (2017)65号</t>
  </si>
  <si>
    <t>119</t>
  </si>
  <si>
    <t>留诗山排洪渠（下栅下村段）截污整治工程</t>
  </si>
  <si>
    <t>本工程位于高新区下栅下村，工程主要内容为新建长度约为656米、管径为D400的截污管，安装一体化污水处理设施1台（日处理量为500m³）等。</t>
  </si>
  <si>
    <t>珠发改高新〔2015〕57号</t>
  </si>
  <si>
    <t>120</t>
  </si>
  <si>
    <t>下栅防风林场地平整工程</t>
  </si>
  <si>
    <t>港湾大道与金凤路交接路口西北侧，主要工程内容为场地清理、新开工围挡、场地挖填土方。</t>
  </si>
  <si>
    <t>珠高发投〔2021〕3号</t>
  </si>
  <si>
    <t>121</t>
  </si>
  <si>
    <t>淇澳五一路路面提升及白石街广场周边临时排水工程</t>
  </si>
  <si>
    <t>对五一路周边排水官网改造及清淤。</t>
  </si>
  <si>
    <t>珠高发投{2019}86号</t>
  </si>
  <si>
    <t>122</t>
  </si>
  <si>
    <t>珠海市香山（岐澳）古驿道（唐家湾段）工程</t>
  </si>
  <si>
    <t>主要工程内容为登山步道7740㎡，古驿道修复1500㎡，驿亭2个。主要建设内容包括登山道、驿亭、景观平台、景观配套设施、古驿道标识系统、古驿道文化保护等广场铺砖、环境整治、绿化景观提升等。</t>
  </si>
  <si>
    <t>珠高发投(2017)73号</t>
  </si>
  <si>
    <t>123</t>
  </si>
  <si>
    <t>92311部队军机使用房周边环境整治工程</t>
  </si>
  <si>
    <t>项目位于高新区港湾大道华策帝景湾与海军七处间，占地面积约13609平方米，工程内容包括绿化、景观、给排水工程等。</t>
  </si>
  <si>
    <t>珠高发投〔2019〕70号</t>
  </si>
  <si>
    <t>124</t>
  </si>
  <si>
    <t>远大美域市政公园提升改造工程</t>
  </si>
  <si>
    <t>远大美域市政公园提升改造工程位于珠海高新区港湾大道与唐淇路交叉口东侧，本工程建设面积约1.09万平方米，本项目主要根据公园定位的转换，为后环社区服务中心增加配套设施，如：新建石材步道、社区舞台、社区宣传栏以及树池和绿化改造提升等。</t>
  </si>
  <si>
    <t>珠高发投〔2021〕75号</t>
  </si>
  <si>
    <t>125</t>
  </si>
  <si>
    <t>宁堂社区排水管（渠）配套工程</t>
  </si>
  <si>
    <t>新建污水管（渠）约100米、污水管约65米。</t>
  </si>
  <si>
    <t>2017-2017</t>
  </si>
  <si>
    <t>珠高发投〔2017〕7号</t>
  </si>
  <si>
    <t>126</t>
  </si>
  <si>
    <t>淇澳海堤周边环境整治工程</t>
  </si>
  <si>
    <t>淇澳海堤周边的绿化及美化工作。</t>
  </si>
  <si>
    <t>珠高发投〔2021〕11号</t>
  </si>
  <si>
    <t>127</t>
  </si>
  <si>
    <t>前环海岸线绿带景观及配套工程</t>
  </si>
  <si>
    <t>项目位于高新区前岛环路南侧，其中新建部分18.6万平方米，改造部分24.4万平方米，主要工程内容：景观工程、绿化工程、道路工程、管线工程等。</t>
  </si>
  <si>
    <t>2010-2021</t>
  </si>
  <si>
    <t>珠高发投〔2019〕102号</t>
  </si>
  <si>
    <t>128</t>
  </si>
  <si>
    <t>前岛环路（泰盈.泰盈玖悦湾段）北侧绿地景观提升工程</t>
  </si>
  <si>
    <t>清理现场长势不良的乔灌木及地被，塑造微地形景观，铺种草皮约32440平方米，新建给水喷灌设施。</t>
  </si>
  <si>
    <t>珠高发投〔2017〕70号</t>
  </si>
  <si>
    <t>129</t>
  </si>
  <si>
    <t>情侣北路延长段海岸线配套工程</t>
  </si>
  <si>
    <t>该项目为前环海岸线绿带景观及配套工程试验段，内容为景观提升及配套工程，造价374.82万元。</t>
  </si>
  <si>
    <t>珠高发投〔2020〕75号</t>
  </si>
  <si>
    <t>130</t>
  </si>
  <si>
    <t>2017年度高新区地质灾害点治理工程</t>
  </si>
  <si>
    <t>主要工程内容为治理山体边坡约75m，面积约2340㎡，包括边坡修整、支挡加固措施（坡面采用锚杆+方形格构梁支架）、坡脚现有排水沟修整、边坡绿化等。</t>
  </si>
  <si>
    <t>珠高发投（2018）101号</t>
  </si>
  <si>
    <t>131</t>
  </si>
  <si>
    <t>高新区兴北路至金唐东路轻轨桥美化工程</t>
  </si>
  <si>
    <t>本工程位于珠海市高新区，项目为广珠城际铁路高新区兴北路至金唐东路范围。主要建设内容包括：桥体、桥墩以及附属构筑物的表面清洗和喷刷漆体。</t>
  </si>
  <si>
    <t>珠高发投〔2021〕62号</t>
  </si>
  <si>
    <t>132</t>
  </si>
  <si>
    <t>官塘社区及红花山森林公园配套公厕建设工程</t>
  </si>
  <si>
    <t>本项目包含两个公厕，分别位于官塘社区官塘三村公园内以及红花山森林公园内。建设内容为新建公厕。</t>
  </si>
  <si>
    <t>珠高发投〔2021〕10号</t>
  </si>
  <si>
    <t>133</t>
  </si>
  <si>
    <t>宝智项目南侧产业用地场地平整工程</t>
  </si>
  <si>
    <t>位于珠海市唐家湾片区，为场地填土、平整工程，平整标高 2.7m，面积约 1.8万平米。</t>
  </si>
  <si>
    <t>珠高发投〔2019〕125号</t>
  </si>
  <si>
    <t>134</t>
  </si>
  <si>
    <t>后环社区及后环公园公厕建设工程</t>
  </si>
  <si>
    <t>项目含有两个公厕；均位于高新区后环社区，后环公园内新建公厕，占地面积：127.19平米，建筑面积102.65平米。后环社区新建公厕：占地面积约80平米。</t>
  </si>
  <si>
    <t>珠高发投〔2020〕44号</t>
  </si>
  <si>
    <t>135</t>
  </si>
  <si>
    <t>2018年社区文体公园工程</t>
  </si>
  <si>
    <t>主要工程内容为整理绿化用地4824㎡、种植乔木56棵、铺设台湾草1327.1㎡、灯类安装37盏等。</t>
  </si>
  <si>
    <t>珠高发投（2018）206号</t>
  </si>
  <si>
    <t>136</t>
  </si>
  <si>
    <t>警备区路灯改造工程</t>
  </si>
  <si>
    <t>本工程位于珠海高新区警备区现状小区道路，主要工程内容为拆除现状多头庭院灯后对道路沿线两侧绿化带设置8m及6m五头LED中华灯124套，沿线改造长度约2155m等。</t>
  </si>
  <si>
    <t>珠高发投〔2020〕51号</t>
  </si>
  <si>
    <t>137</t>
  </si>
  <si>
    <t>高新区金鼎文化广场公共地下人防工程</t>
  </si>
  <si>
    <t>建设于高新区金鼎市场后，金峰路170米，金鼎文化广场地下一层，总建筑面积约为11003.92平方米，其中设二等人员掩蔽所单元三个，设人防综合物资库单元一个，人防区域电站一个（防护等级为核6级、常6级）。 建设内容包括：基坑支护、土建工程、给排水工程、消防工程、喷淋工程、电气工程、防雷工程、通风工程。</t>
  </si>
  <si>
    <t>珠高发投〔2016〕173号</t>
  </si>
  <si>
    <t>138</t>
  </si>
  <si>
    <t>情侣北路（南段）片区市政道路工程（二期）-珠国土储2012-13、2011-20地块</t>
  </si>
  <si>
    <t>工程的设计规模及项目组成:本项项目位于珠海市唐家湾的石坑山填海区。珠国土储2012-13地块实施范围共包含含5条市政道路，分别为前湾二路、明海路、前湾四路、前湾五路、环海路，设设计总长度2103.097m，其中次干路总长度220m，支路总长度1883.097m。珠国土储2011-20地块实施范围共包含3条市政道路，分别为半岛六路、山海路 前岛环路~半岛六路)、云海路(半岛五 路~半岛六路),实施总长度 1253m,其中次干路总长度380m，支路总长度873m。</t>
  </si>
  <si>
    <t>139</t>
  </si>
  <si>
    <t>唐乐路至唐淇路段行道树亮化工程</t>
  </si>
  <si>
    <t>目位于高新区唐家湾镇，线路总长3.5公里，主要工作内容：唐乐路口至唐琪路段景观照明。</t>
  </si>
  <si>
    <t>珠高发投〔2021〕40号</t>
  </si>
  <si>
    <t>140</t>
  </si>
  <si>
    <t>广珠城际轨道（宁堂至港湾大道段）高架桥外观美化工程</t>
  </si>
  <si>
    <t>广珠城际轨道（宁堂至港湾大道段）高架桥清除爬山虎、桥体高压枪喷洗及喷涂外墙漆等美化。</t>
  </si>
  <si>
    <t>珠高发投〔2021〕41号</t>
  </si>
  <si>
    <t>141</t>
  </si>
  <si>
    <t>金峰中路沿线公交站改造工程</t>
  </si>
  <si>
    <t>项目位于金峰中路（下栅至金鼎医院段），该段一共有六个公交站台，其中两个为港湾式公交站台（不改造），四个为直线式公交站台（改造）。</t>
  </si>
  <si>
    <t>珠高发投〔2021〕64号</t>
  </si>
  <si>
    <t>142</t>
  </si>
  <si>
    <t>高新区D级桥梁维修加固工程</t>
  </si>
  <si>
    <t>工程内容包括歧关路中珠渠桥和港湾大道南方软件园桥维修，裂缝处理、修补桥面增加护栏。</t>
  </si>
  <si>
    <t>珠高发投〔2019〕41号</t>
  </si>
  <si>
    <t>143</t>
  </si>
  <si>
    <t>港湾大道（银海湾至鸡山段）山坡绿化美化工程</t>
  </si>
  <si>
    <t>本工程位于珠海高新区，主要建设内容为山体边坡种植绿化植物共约 6587 平方米及喷灌新建DN25-DN80的PE100给水管共约828米等。</t>
  </si>
  <si>
    <t>珠高发投[2019]3号</t>
  </si>
  <si>
    <t>144</t>
  </si>
  <si>
    <t>2016年度高新区地质灾害点治理工程</t>
  </si>
  <si>
    <t>主要工程内容为设计面积约7716㎡，其中包括公路局银坑办公楼旁长约150m，治理面积约1353㎡；美丽湾东北侧取水点长度约235m，治理面积约6363㎡等。</t>
  </si>
  <si>
    <t>珠高发投（2017）82号</t>
  </si>
  <si>
    <t>145</t>
  </si>
  <si>
    <t>香山（岐澳）古驿道（唐家湾段）本体段提升工程</t>
  </si>
  <si>
    <t>主要工程内容包括新建登山步道、修复古驿道、修建驿亭、修建景观平台等。</t>
  </si>
  <si>
    <t>珠高发投（2019）161号</t>
  </si>
  <si>
    <t>146</t>
  </si>
  <si>
    <t>正坑水库段路面提升工程</t>
  </si>
  <si>
    <t>本项目位于会同社区正坑水库旁，建设内容包括长度约1175m现有混凝土路面提升，新建排水沟、电缆沟。</t>
  </si>
  <si>
    <t>珠高发投〔2020〕47号</t>
  </si>
  <si>
    <t>147</t>
  </si>
  <si>
    <t>关于情侣北路（南段）片区两座污水提升泵站工程</t>
  </si>
  <si>
    <t>主要工程内容为新建1#污水提升泵站和2#污水提升泵站，配套建设DN500~DN800污水管约1100米。</t>
  </si>
  <si>
    <t>珠高发投【2015】236号</t>
  </si>
  <si>
    <t>148</t>
  </si>
  <si>
    <t>金唐东路（赛车场侧）环境整治工程</t>
  </si>
  <si>
    <t>该项目位于珠海唐家湾高新区，道路总体呈东西走向，东起金唐东路北段，西至哈工大路，工程主要内容包括人行道外侧至赛车场围墙绿化带景观提升。</t>
  </si>
  <si>
    <t>珠高发投〔2019〕119号</t>
  </si>
  <si>
    <t>149</t>
  </si>
  <si>
    <t>前环海堤防御台风临时加固及围挡工程</t>
  </si>
  <si>
    <t>海堤临时加固及围挡等。</t>
  </si>
  <si>
    <t>2018-2018</t>
  </si>
  <si>
    <t>珠高发投〔2019〕26号</t>
  </si>
  <si>
    <t>150</t>
  </si>
  <si>
    <t>会同社区体育公园工程</t>
  </si>
  <si>
    <t>建设场地总面积70000平方米，主要工程内容包括水吧和运动驿站（含管理用房）511平方米、广场、园路、林荫停车场、绿化景观、照明、健身设施、篮球场、田径运动场、配套、小品和排水渠等。</t>
  </si>
  <si>
    <t>珠高发投〔2019〕23号</t>
  </si>
  <si>
    <t>151</t>
  </si>
  <si>
    <t>原疗养院至银坑海岸线行道树亮化工程</t>
  </si>
  <si>
    <t>项目位于珠海市唐家湾镇，全长3.2公里，主要工作内容：美丽湾至叠石驿站，实施情况是在靠海一侧的榕树安装鸟巢灯，在靠海一侧的椰树安装照树灯。</t>
  </si>
  <si>
    <t>珠高发投〔2021〕5号</t>
  </si>
  <si>
    <t>152</t>
  </si>
  <si>
    <t>丁婶园水浸整治工程</t>
  </si>
  <si>
    <t>建设内容主要包括建设内容为新建长度约为375米的管涵，开挖临时排水沟438米等。</t>
  </si>
  <si>
    <t>珠发改高新〔2015〕52号</t>
  </si>
  <si>
    <t>153</t>
  </si>
  <si>
    <t>鸡山社区路灯电缆改造工程</t>
  </si>
  <si>
    <t>主要工程内容为埋设路灯电缆332m、C40砼面层22cm厚125.94㎡、6%水泥稳定石屑20cm厚125.94㎡、电缆接线井11座、破除现状水泥路面125.94㎡等。</t>
  </si>
  <si>
    <t>珠高发投（2018）205号</t>
  </si>
  <si>
    <t>154</t>
  </si>
  <si>
    <t>唐家湾镇文化站改造二期工程</t>
  </si>
  <si>
    <t>项目位于唐家湾镇山房路，主要建设内容包括建筑物，预算资金137.50万元，施工合同价69.77万元。</t>
  </si>
  <si>
    <t>珠高发改高新〔2015〕34号</t>
  </si>
  <si>
    <t>155</t>
  </si>
  <si>
    <t>唐淇路生态菜园景观工程</t>
  </si>
  <si>
    <t>主要工程内容为总用地面积约17200㎡，其中包括管理服务建筑面积为约406㎡，公共停车场约1208㎡，种植大乔木约109株，种植地被约6334㎡，回填种植土及微地形约4800m³等。</t>
  </si>
  <si>
    <t>珠高发投（2018）81号</t>
  </si>
  <si>
    <t>156</t>
  </si>
  <si>
    <t>唐家共乐园林分林相改造工程</t>
  </si>
  <si>
    <t>本工程位于唐家共乐园。工程主要内容包括对共乐园区内的林分林相改造区进行林地清理、整地挖穴、下基肥、种植观赏性较强的乡土阔叶树种，改造面积约 93 亩等。</t>
  </si>
  <si>
    <t>珠高发改[2014]20号</t>
  </si>
  <si>
    <t>157</t>
  </si>
  <si>
    <t>那溪河景观提升工程</t>
  </si>
  <si>
    <t>主要内容工程量包括：拆除现状混凝土栏杆40m、拆除现状金属栏杆50m、新安装花岗岩栏杆91m、铺设22cm厚C40水泥混凝土204㎡、加铺沥青混凝土363㎡等。</t>
  </si>
  <si>
    <t>珠高发投〔2018〕153号</t>
  </si>
  <si>
    <t>158</t>
  </si>
  <si>
    <t>金永一路附近高压电缆下地工程</t>
  </si>
  <si>
    <t>金永一路附近高压电缆下地工程现状架空线位于广东医谷（珠海）医疗产业加速基地、宝莱特血液净化厂、永丰村万泽珠海生物医药等多个市挂图作战重点项目范围内。</t>
  </si>
  <si>
    <t>珠高发投〔2021〕66号</t>
  </si>
  <si>
    <t>159</t>
  </si>
  <si>
    <t>情侣北路景观照明工程</t>
  </si>
  <si>
    <t>项目位于高新区唐家湾镇，线路总长3.4公里，主要工作内容：叠石路至鸡山路口靠海一侧的榕树安装鸟巢灯，鸡山路口至白埔路口情侣北沿线的葵树和椰树安装照树投光灯，叠石停车场与叠石小品安装LED投光灯。</t>
  </si>
  <si>
    <t>珠高发投〔2021〕58号</t>
  </si>
  <si>
    <t>160</t>
  </si>
  <si>
    <t>泵站改造提升工程</t>
  </si>
  <si>
    <t>主要工程内容为改造提升5座泵站，包括外墙面清晰6748平方米，室内墙面及顶棚翻新，新砌墙面103平方米、地面贴装、线槽、LED路灯等。</t>
  </si>
  <si>
    <t>珠高发投〔2017〕64号</t>
  </si>
  <si>
    <t>161</t>
  </si>
  <si>
    <t>淇澳游艇会配套市政工程</t>
  </si>
  <si>
    <t>位于淇澳岛东南，南芒湾北侧。主要建设内容为修建一条长约414米，宽24米双向车道的城市支路，包括道路工程、给水工程、污水工程、雨水工程、电缆沟工程、预留沟工程、照明工程、景观工程、交通工程和预留通讯工程等。</t>
  </si>
  <si>
    <t>2013-2014</t>
  </si>
  <si>
    <t>珠发改高新〔2012〕37号</t>
  </si>
  <si>
    <t>162</t>
  </si>
  <si>
    <t>唐南路市政道路工程</t>
  </si>
  <si>
    <t>本项目建设范围北起拟建的唐家古镇居民安置房，南与现状白埔路相连，接至港湾大道，道路全长311米，道路设计等级为城市次干路和城市支路，其中城市次干路约169米,城市支路约92米，中间渐变过渡段约50米。工程主要内容包括道路工程、给排水工程、通信工程、电缆沟工程、路灯工程和交通安监工程等。</t>
  </si>
  <si>
    <t>2014-2017</t>
  </si>
  <si>
    <t>珠发改高新[2014]46号</t>
  </si>
  <si>
    <t>163</t>
  </si>
  <si>
    <t>东岸社区（东南侧）村道工程</t>
  </si>
  <si>
    <t>本工程位于高新区东岸社区，主要工程内容包括修建一条长约407米，宽约8.5米村道。包括道路工程、排水工程、路灯工程和绿化工程。</t>
  </si>
  <si>
    <t>珠发改高新〔2014〕43号</t>
  </si>
  <si>
    <t>164</t>
  </si>
  <si>
    <t>港湾大道（下栅段）公共绿化带环境整治工程</t>
  </si>
  <si>
    <t>位于珠海高新区港湾大道（下栅段），主要建设内容包括场地清理约39708平方米、开挖土方约571立方米、回填土方约21933立方米等。</t>
  </si>
  <si>
    <t>珠高发投〔2019〕39号</t>
  </si>
  <si>
    <t>165</t>
  </si>
  <si>
    <t>潭井水库西副坝坝体除险加固工程</t>
  </si>
  <si>
    <t>副坝防渗灌浆处理等。</t>
  </si>
  <si>
    <t>珠发改高新（2014）16号</t>
  </si>
  <si>
    <t>166</t>
  </si>
  <si>
    <t>UIC配套污水集中处理工程</t>
  </si>
  <si>
    <t>主要工程内容为安装半地埋式一体化污水处理设施2台，新建设备基础及部分管网等。</t>
  </si>
  <si>
    <t>珠高发投〔2017〕66号</t>
  </si>
  <si>
    <t>167</t>
  </si>
  <si>
    <t>正坑水库坝体除险加固工程</t>
  </si>
  <si>
    <t>包括挡水建筑物、泄水建筑物、防汛建筑物、泄洪道交通桥、金属结构及大坝观测设施除险加固。</t>
  </si>
  <si>
    <t>珠发改高新（2014）41号</t>
  </si>
  <si>
    <t>168</t>
  </si>
  <si>
    <t>火炬中心南方基地用地南侧箱涵</t>
  </si>
  <si>
    <t>新增火炬中心南侧排水箱涵。</t>
  </si>
  <si>
    <t>珠高发改〔2015〕12号</t>
  </si>
  <si>
    <t>169</t>
  </si>
  <si>
    <t>远大美域排洪渠综合整治工程</t>
  </si>
  <si>
    <t>本工程（2019-440402-48-01-000129）位于珠海高新区远大美域小区和华发蔚蓝堡小区之间，工程主要建设内容为新建D300截污管300米，排洪渠内清淤及土方换填，整治范围自金云路至军事警备区围墙，涉及渠道长度约300米。</t>
  </si>
  <si>
    <t>珠高发投〔2019〕20号</t>
  </si>
  <si>
    <t>170</t>
  </si>
  <si>
    <t>那洲涌（后朗沟）截污整治工程</t>
  </si>
  <si>
    <t>本项目位于那洲社区，工程主要内容为截污整治约900米河涌，其中部分河段采取水体生态修复系统，部分采取收集沿途污水进入一体化污水处理设施（300m³/天）进行处理等，其中新建污水管（D400~D500）632米。</t>
  </si>
  <si>
    <t>珠发改高新（2014）68号</t>
  </si>
  <si>
    <t>171</t>
  </si>
  <si>
    <t>港湾大道休闲坐椅安装工程</t>
  </si>
  <si>
    <t>主要工程内容是港湾大道金凤路口至鸡山巴士站段和滨海绿道段安装休闲坐椅315张。</t>
  </si>
  <si>
    <t>珠高发投〔2016〕182号</t>
  </si>
  <si>
    <t>172</t>
  </si>
  <si>
    <t>港湾大道桥梁护栏改造工程</t>
  </si>
  <si>
    <t>位于港湾大道，主要建设内容为拆除金凤桥、南软桥及鸡山原有栏杆，并新建花岗岩栏杆约304米等。</t>
  </si>
  <si>
    <t>珠高发投〔2019〕31号</t>
  </si>
  <si>
    <t>173</t>
  </si>
  <si>
    <t>金官路综合整治提升工程</t>
  </si>
  <si>
    <t>本工程位于金官路，主要工程内容包括道路整治提升管线整治提升、交通设施整治提升、景观绿化整治提升、路灯整治提升等。</t>
  </si>
  <si>
    <t>2014-2016</t>
  </si>
  <si>
    <t>珠发改高新[2014]62号</t>
  </si>
  <si>
    <t>174</t>
  </si>
  <si>
    <t>雅迪高压电缆迁移工程</t>
  </si>
  <si>
    <t>本项目位于高新区。本工程主要内容包括对雅迪公司原有穿过准备施工的金宏威工业、客运站用地的电缆线路进行改造更换路段，电缆总长约 2380 米，其中新增电缆约 1381米。</t>
  </si>
  <si>
    <t>2014-2014</t>
  </si>
  <si>
    <t>珠发改高新[2014]33号</t>
  </si>
  <si>
    <t>175</t>
  </si>
  <si>
    <t>解放万山群岛烈士纪念碑周边环境整治工程</t>
  </si>
  <si>
    <t>对解放万山群岛烈士纪念碑的绿化及美化。</t>
  </si>
  <si>
    <t>珠高发投〔2016〕188号</t>
  </si>
  <si>
    <t>176</t>
  </si>
  <si>
    <t>淇澳村口广场改造提升工程</t>
  </si>
  <si>
    <t>主要工程内容为改造提升面积约8636㎡，包括广场铺装、环境整治、绿化景观提升等。</t>
  </si>
  <si>
    <t>珠高发投 （2016）136号</t>
  </si>
  <si>
    <t>177</t>
  </si>
  <si>
    <t>淇澳东涌闸排水系统改造工程</t>
  </si>
  <si>
    <t>本工程位于淇澳岛东涌闸旁，主要建设内容有：填塘基、修涵管和建节制闸等工程。</t>
  </si>
  <si>
    <t>珠高发投〔2017〕53号</t>
  </si>
  <si>
    <t>178</t>
  </si>
  <si>
    <t>淇澳海堤东涌闸重建工程</t>
  </si>
  <si>
    <t>重建东涌闸1座，为双孔闸，单孔净宽4米；新建管理房80平方米，加固东涌闸至白角头山段海堤120米。</t>
  </si>
  <si>
    <t>珠发改高新〔2013〕23号</t>
  </si>
  <si>
    <t>179</t>
  </si>
  <si>
    <t>后环社区居委会新办公场所装修工程</t>
  </si>
  <si>
    <t>位于珠海高新区后环社区，主要工程内容为装修面积约448平方米的居委会办公室等。</t>
  </si>
  <si>
    <t>珠高发投[2016]172号</t>
  </si>
  <si>
    <t>180</t>
  </si>
  <si>
    <t>中珠副渠水闸变压器安装工程</t>
  </si>
  <si>
    <t>本工程位于科技创新海岸中珠副渠，主要工程内容包括建设箱式变压器一台、10KV分界户外开关箱1个、电力电缆等。</t>
  </si>
  <si>
    <t>2015-2015</t>
  </si>
  <si>
    <t>珠高发改（2015）142号</t>
  </si>
  <si>
    <t>181</t>
  </si>
  <si>
    <t>蓉镜湖周边绿化改造提升工程</t>
  </si>
  <si>
    <t>蓉镜胡周边景观绿化。</t>
  </si>
  <si>
    <t>珠高发投〔2016〕186号</t>
  </si>
  <si>
    <t>182</t>
  </si>
  <si>
    <t>唐家共乐园配套设施改造工程</t>
  </si>
  <si>
    <t>唐家共乐园的绿化及美化。</t>
  </si>
  <si>
    <t>珠高发投〔2016〕187号</t>
  </si>
  <si>
    <t>183</t>
  </si>
  <si>
    <t>科技二路及创新三路污水管网改造工程</t>
  </si>
  <si>
    <t>位于珠海高新区科技二路及创新三路，主要建设内容为对D1000、D600污水管进行改造，改建污水管网长度约80米，其中D1000污水管约50米，D600污水管约30米。</t>
  </si>
  <si>
    <t>珠高发投〔2019〕21号</t>
  </si>
  <si>
    <t>184</t>
  </si>
  <si>
    <t>南围1号闸基础加固工程</t>
  </si>
  <si>
    <t>对水闸出海口基础实施抛石防冲以及修复防浪墙。</t>
  </si>
  <si>
    <t>珠高发改〔2015〕14号</t>
  </si>
  <si>
    <t>185</t>
  </si>
  <si>
    <t>永丰社区污水处理工程</t>
  </si>
  <si>
    <t>修复生态水池，增加污水处理设备，种植水池植物、恢复周边绿化等。</t>
  </si>
  <si>
    <t>珠高发投〔2018〕68号</t>
  </si>
  <si>
    <t>186</t>
  </si>
  <si>
    <t>广珠城际轨道（珠海北站至港湾大道段）高架桥外观美化工程</t>
  </si>
  <si>
    <t>广珠城际轨道（珠海北站至港湾大道段）高架桥清除爬山虎、桥体高压枪喷洗及喷涂外墙漆等美化。</t>
  </si>
  <si>
    <t>珠高发投〔2020〕71号</t>
  </si>
  <si>
    <t>187</t>
  </si>
  <si>
    <t>银星社区污水处理工程</t>
  </si>
  <si>
    <t>建设内容主要包括1039米污水管、1230米雨水管。</t>
  </si>
  <si>
    <t>珠高发改〔2016〕31号</t>
  </si>
  <si>
    <t>188</t>
  </si>
  <si>
    <t>唐家第二工业区配套道路工程</t>
  </si>
  <si>
    <t>本工程位于高新区唐家第二工业区周边，包括规划A路和唐中路，总长约为621米，其中规划A路约为288米，道路等级为区内道路，唐中路约为333米，道路等级为城市支路，工程主要内容包括道路、软基处理、管网、电缆沟、照明、安监、绿化等。</t>
  </si>
  <si>
    <t>珠高发投〔2016〕82号</t>
  </si>
  <si>
    <t>189</t>
  </si>
  <si>
    <t>会同社区污水处理工程</t>
  </si>
  <si>
    <t>增加会同社区污水处理设施及周边管网。</t>
  </si>
  <si>
    <t>珠发改高新（2015）51号</t>
  </si>
  <si>
    <t>190</t>
  </si>
  <si>
    <t>金凤排洪渠修复工程</t>
  </si>
  <si>
    <t>对现有渠道进行修复。</t>
  </si>
  <si>
    <t>珠高发改〔2014〕196号</t>
  </si>
  <si>
    <t>191</t>
  </si>
  <si>
    <t>金峰北路（南围段）慢行系统改造工程</t>
  </si>
  <si>
    <t>本工程位于金峰北路，道路全长约1650米，工程主要内容为新建自行车道等慢行系统专用通道，包括绿化迁移、行路砖铺装、铺设沥青绿道等。</t>
  </si>
  <si>
    <t>珠发改高新[2014]56号</t>
  </si>
  <si>
    <t>192</t>
  </si>
  <si>
    <t>金鸿四路及金峰北路污水管网改造工程</t>
  </si>
  <si>
    <t>项目位于高新区金鼎工业园金鸿四路、科技创新海岸园区金峰北路，改造污水管约110m。</t>
  </si>
  <si>
    <t>珠高发投〔2019〕18号</t>
  </si>
  <si>
    <t>193</t>
  </si>
  <si>
    <t>港湾大道银坑原疗养院泵站周边环境提升工程</t>
  </si>
  <si>
    <t>项目总面积约6000平方米，主要包括地下管道设置、场地平整、休闲广场、廊架、户外设施、种植绿化等。</t>
  </si>
  <si>
    <t>珠高发投〔2019〕103号</t>
  </si>
  <si>
    <t>194</t>
  </si>
  <si>
    <t>金星垦区南围2号闸岸墙坍塌修复工程</t>
  </si>
  <si>
    <t>挡墙拆除重建约14米，启闭设备更换。</t>
  </si>
  <si>
    <t>珠高发改〔2014〕154号</t>
  </si>
  <si>
    <t>195</t>
  </si>
  <si>
    <t>东岸水闸加固工程</t>
  </si>
  <si>
    <t>对现有水闸基础进行加固，前后抛石防冲。</t>
  </si>
  <si>
    <t>珠高发改（2015）13号</t>
  </si>
  <si>
    <t>196</t>
  </si>
  <si>
    <t>淇澳白石街广场公厕改建工程</t>
  </si>
  <si>
    <t>澳白石街广场公厕改建，公厕基底面积101.26平方米，建筑面积71.25平方米。</t>
  </si>
  <si>
    <t>珠高发投〔2019〕27号</t>
  </si>
  <si>
    <t>197</t>
  </si>
  <si>
    <t>官塘社区综合服务中心装修工程</t>
  </si>
  <si>
    <t>对官塘社区服务中心装修。</t>
  </si>
  <si>
    <t>珠高发投〔2018〕148号</t>
  </si>
  <si>
    <t>198</t>
  </si>
  <si>
    <t>珠海市军队离休退休干部服务中心高新区服务站环境整治提升工程</t>
  </si>
  <si>
    <t>军休所小区占地面积约7345m2，本次环境整治提升面积约5189m2。提升内容包括：小区道路改造、场地内部排水管网改造、景观绿化提升、照明提升等环境配套工程。</t>
  </si>
  <si>
    <t>珠高发投〔2020〕94号</t>
  </si>
  <si>
    <t>199</t>
  </si>
  <si>
    <t>金鼎官塘水北排洪渠截污整治工程</t>
  </si>
  <si>
    <t>主要对官塘水北排洪渠进行渠底清淤及敷设截污管，整治长度约1057米。</t>
  </si>
  <si>
    <t>珠发改高新（2013）28号</t>
  </si>
  <si>
    <t>200</t>
  </si>
  <si>
    <t>官塘商业街路及鸡山桥垃圾房改造工程</t>
  </si>
  <si>
    <t>项目位于高新区鸡山桥旁，主要为原垃圾房拆除重建。建一个压缩机位，建筑面积约60平方米。</t>
  </si>
  <si>
    <t>珠高发投〔2018〕220号</t>
  </si>
  <si>
    <t>201</t>
  </si>
  <si>
    <t>智能制造产业园配套项目3(金唐西路剩余配套工程)</t>
  </si>
  <si>
    <t>规划道路长度为6630.847m，规划等级为城市主干道，双向六车道，将建设规划路幅的剩余部分（路滑袋、慢行通道、电缆沟、通信管沟等）</t>
  </si>
  <si>
    <t>珠高发投（2017）12号</t>
  </si>
  <si>
    <t>202</t>
  </si>
  <si>
    <t>东岸南路三超公司段道路工程</t>
  </si>
  <si>
    <t>道路长180米，宽12米。包括道路、给水、雨水、污水、电缆沟、预留沟、照明、绿化景观工程和交通实施工程等。</t>
  </si>
  <si>
    <t>珠发改高新[2013]15号</t>
  </si>
  <si>
    <t>203</t>
  </si>
  <si>
    <t>高新区行政服务大厅装修工程</t>
  </si>
  <si>
    <t>装修面积约680平方米，主要建设内容为室内精装修，包括墙砖、地砖、隔断、吊顶、定制桌椅等。</t>
  </si>
  <si>
    <t>珠发改高新[2014]61号</t>
  </si>
  <si>
    <t>204</t>
  </si>
  <si>
    <t>会同驿站西侧场地平整工程</t>
  </si>
  <si>
    <t>本工程项目位于高新区会同村会同驿站西侧，主要工程内容为场地平整，平整面积约1.6万平方米，填土量约为9600立方米。</t>
  </si>
  <si>
    <t>珠高建环〔2018〕458号</t>
  </si>
  <si>
    <t>205</t>
  </si>
  <si>
    <t>珠海市高新区5处高压（10kV）下地改造工程</t>
  </si>
  <si>
    <t>主要建设内容包括将原有10KV创新甲线（#1-#15杆）、10KV创新乙线（#1-#13杆）、山房乙线-公园支线（#28-#34杆）、港湾乙线-珍珠乐园支线（#2-#3杆）及东堡分支线（#1-#6杆）、台园甲线-冶炼厂分支线（#4-#8杆、#22-#24杆及快达分支线#1-#11杆）架空下地后，拆除现有架空线，改为电缆沿现有市政电缆沟或埋管敷设；户外开关箱12台，用户箱变4台。</t>
  </si>
  <si>
    <t>珠高发投审〔2022〕20号</t>
  </si>
  <si>
    <t>206</t>
  </si>
  <si>
    <t>高新区2022年高质量水源林造林工程</t>
  </si>
  <si>
    <t>2021-2024</t>
  </si>
  <si>
    <t>207</t>
  </si>
  <si>
    <t>金鼎敬老院地块系列项目工程</t>
  </si>
  <si>
    <t>本项目位于高新区金鼎片区金峰路南，金府路西侧，项目用地面积19795㎡，总建筑面积41865.63㎡，其中，地下总建筑面积10637.11㎡，地上总建筑面积31228.52㎡，主要包括三个单体金鼎幼儿园、高新区社会福利中心和金鼎社区卫生服务中心。</t>
  </si>
  <si>
    <t>2020-2024</t>
  </si>
  <si>
    <t>珠高发投〔2021〕51号</t>
  </si>
  <si>
    <t>项目结算资金</t>
  </si>
  <si>
    <t>208</t>
  </si>
  <si>
    <t>珠海高新区永丰片区小学工程</t>
  </si>
  <si>
    <t>建设内容为新开工一所办学规模为36教学班，总学生人数为1620人的小学。学校总用地面积为29317平方米，总建设面积为19280平方米，包括地下车库、 综合教学楼、食堂、体育馆、报告厅、门卫以及室外配套工程等。</t>
  </si>
  <si>
    <t>珠高发投〔2020〕61号</t>
  </si>
  <si>
    <t>209</t>
  </si>
  <si>
    <t>珠海高新区前环片区小学建设工程</t>
  </si>
  <si>
    <t>占地面积21656.94平方米,建筑面积约为16872.14平方米，按30个教学班设计,每班45人，在校生1350人；建设的内容包括各功能校舍及其他配套用房(建筑面积暂定13000平方米)、风雨操场(建筑面积暂定2000平方米)、运动场、室外配套工程（校门、校内道路、围墙、绿化及广场等）。</t>
  </si>
  <si>
    <t>珠高发投【2020】55号</t>
  </si>
  <si>
    <t>210</t>
  </si>
  <si>
    <t>唐家湾镇卫生院改扩建工程</t>
  </si>
  <si>
    <t>项目占地面积7743㎡，规划病床数96床，总建筑面积11300.73㎡（其中地上建筑面积6924.92㎡，地下建筑面积4375.81㎡）。建设内容包括：土石方、基坑支护、桩基础、土建及装饰、水电安装等。</t>
  </si>
  <si>
    <t>珠高发投〔2019〕92号</t>
  </si>
  <si>
    <t>医疗卫生项目</t>
  </si>
  <si>
    <t>211</t>
  </si>
  <si>
    <t>珠海高新区礼和中学建设工程</t>
  </si>
  <si>
    <t>位于高新区科技创新海岸北围片区兴中路东、天星五路南侧，规划占地面积33633.82平方米,总建筑面积25721.81平方米，按36个教学班设计,每班50人，在校生1800人。预算总投资14104.65万元，建安费12711.86万元，工程建设其他费1116.23万元，预备费用256.56万元。</t>
  </si>
  <si>
    <t>珠高发投〔2020〕77号</t>
  </si>
  <si>
    <t>212</t>
  </si>
  <si>
    <t>京珠高速西侧幼儿园（地块6）工程</t>
  </si>
  <si>
    <t>项目建设用地面积5767.24平方米。建设规模为15班教学班，提供450个幼儿学位。本项目建设内容包括幼儿园建筑工程、总平工程。园舍建筑包括幼儿活动用房及辅助用房、办公及辅助用房、生活用房、地下建筑用房；总平工程包括绿化工程、道路及硬质铺装工程、安装管网工程等。总建筑面积7961.39平方米，其中：地上3层，建筑面积5085.75平方米；地下1层，建筑面积2875.64平方米。</t>
  </si>
  <si>
    <t>珠高发投审〔2021〕8号</t>
  </si>
  <si>
    <t>213</t>
  </si>
  <si>
    <t>珠海高新区永丰片区幼儿园工程</t>
  </si>
  <si>
    <t>永丰片区新开工幼儿园1所，建设规模15个教学班，总学生人数为450人。本项目规划用地面积为5577.13㎡。建设总建筑面积约8926.58㎡：其中地上面积约5889.84㎡，地下建筑面积约3036.74㎡。</t>
  </si>
  <si>
    <t>珠高发投〔2020〕89号</t>
  </si>
  <si>
    <t>214</t>
  </si>
  <si>
    <t>珠海高新区金鼎第一小学改扩建工程</t>
  </si>
  <si>
    <t>建设内容：包括新建报告厅及连廊2908平方米，正（南）门卫室拆除及重建232平方米，校内凝土路面提升约9739平方米，运动场改建约14000平方米，围墙及大门改造，校前广场改造，新建植物园和原有教学楼与食堂外立面翻新等。</t>
  </si>
  <si>
    <t>珠高发投〔2021〕16号</t>
  </si>
  <si>
    <t>215</t>
  </si>
  <si>
    <t>唐家湾博物馆工程（陈展部分）</t>
  </si>
  <si>
    <t>本工程的建设范围包含：土建部分所占区域以及瑞芝唐公祠所占区域。陈展部分的施工范围为地上建筑面积合计：2674.16m2，包括瑞芝唐公祠（原有）727.1m2和唐家湾博物馆（新建）1947.06 m2。</t>
  </si>
  <si>
    <t>珠高发投〔2021〕19号</t>
  </si>
  <si>
    <t>216</t>
  </si>
  <si>
    <t>珠海市金鼎中学改扩建工程</t>
  </si>
  <si>
    <t>建设内容：运动舞台，1#教学楼，行政楼，风雨连廊四、五、六段，五人制足球场，报告厅等改造，改造面积约为6856平方面，包括土建工程（含基础、结构、建筑等），安装工程（含给排水、电气、智能化、空调等），电梯工程和抗震支架工程等。</t>
  </si>
  <si>
    <t>珠高发投〔2021〕8号</t>
  </si>
  <si>
    <t>217</t>
  </si>
  <si>
    <t>珠海高新区银星片区小学及幼儿园工程</t>
  </si>
  <si>
    <t>本项目建设用地面积为18980.06平方米，总建筑面积为20259.60平方米，其中银星小学办学规模为24个教学班，总学生人数1080人，建筑面积16408.8平方米；银星幼儿园办学规模为9个教学班，总学生人数为270人，建筑面积3850.80平方米。工程主要建设内容包括：教学校舍、体育馆、室外运动场地以及配套园林绿化和道路建设等。</t>
  </si>
  <si>
    <t>珠高发投〔2020〕46号</t>
  </si>
  <si>
    <t>218</t>
  </si>
  <si>
    <t>唐家湾博物馆工程（土建部分）</t>
  </si>
  <si>
    <t>建设内容分为土建部分和展陈部分，其中的土建部分主要包括：拆除工程、景观工程、建筑工程、室外工程、室内工程、附属工程。建筑面积：2079M2。</t>
  </si>
  <si>
    <t>珠高发投〔2020〕41号</t>
  </si>
  <si>
    <t>219</t>
  </si>
  <si>
    <t>唐家梁氏大宗祠维修工程</t>
  </si>
  <si>
    <t>主要工程内容包括封堵后开窗洞、屋面揭顶重铺、墙面及地面清理修补、更换破损木构件并重做油漆、灰塑、墀头修复、疏通排水等。</t>
  </si>
  <si>
    <t>珠高发投〔2020〕37号</t>
  </si>
  <si>
    <t>220</t>
  </si>
  <si>
    <t>珠海高新区保利五月花小区配套幼儿园装修工程</t>
  </si>
  <si>
    <t>回收保利海上五月花配套幼儿园，建筑面积1600多平方米，室外面积2000平方米，开展室内装修工程及室外配套工程。建成6个班标准幼儿园。</t>
  </si>
  <si>
    <t>珠高发投〔2022〕133号</t>
  </si>
  <si>
    <t>221</t>
  </si>
  <si>
    <t>珠海高新区金鼎第一小学食堂改扩建工程</t>
  </si>
  <si>
    <t>工程主要内容为改造原食堂二、三层宿舍为备餐间和餐厅，新建门卫二、风雨连廊，其中食堂改建面积约为2523平方米，门卫二建筑面积约20平方米，风雨连廊建筑面积约258平方米等。</t>
  </si>
  <si>
    <t>珠高发投（2019）98号</t>
  </si>
  <si>
    <t>222</t>
  </si>
  <si>
    <t>珠海中山大学附属中学学生食堂扩建工程</t>
  </si>
  <si>
    <t>该项目位于珠海高新区前湾五路499号。项目建设内容为装修改造规模6个班，建筑面积1600多平方米，室外面积2000平方米，室内装修工程及室外配套工程。</t>
  </si>
  <si>
    <t>223</t>
  </si>
  <si>
    <t>礼和小学绿色建筑及安全防护工程</t>
  </si>
  <si>
    <t>绿建、防护等。</t>
  </si>
  <si>
    <t>珠高发投〔2017〕32号</t>
  </si>
  <si>
    <t>224</t>
  </si>
  <si>
    <t>珠海中山大学附属小学工程</t>
  </si>
  <si>
    <t>本项目总建筑面积13569平方米。包括建筑、结构、给排水、建筑电气（强电，弱电）、空调、通风、消防、防雷、绿化、道路、景观及管线等等。</t>
  </si>
  <si>
    <t>珠高发投﹝2016﹞125号</t>
  </si>
  <si>
    <t>225</t>
  </si>
  <si>
    <t>唐家小学原址改造工程</t>
  </si>
  <si>
    <t>本项目位于唐家湾山房路17号，规划建设总用地面积为14649.20平方米，总建筑面积为13051.86平方米，包括新建教学综合楼13051.86平方米和加固修缮现状办公楼建筑面积699.95平方米。建设的内容包括各功能校舍、风雨操场、其他配套用房、运动场、室外配套工程（校门、校内道路、围墙、绿化及广场等），保留原县政府楼历史建筑（现状办公楼），并进行加固修缮处理。主要工程内容包括建筑、结构、给排水、建筑电气、智能化、空调、通风、消防、电梯、防雷、绿化、景观及管线等。</t>
  </si>
  <si>
    <t>珠高发投〔2017〕76号</t>
  </si>
  <si>
    <t>226</t>
  </si>
  <si>
    <t>高新区2014年度社区卫生站工程（一期）-下栅下村社区卫生站工程</t>
  </si>
  <si>
    <t>项目位于下栅社区下村内，主要建设内容为室内装修等工程，装修面积约683.52平方米。</t>
  </si>
  <si>
    <t>珠发改高新〔2014〕76号</t>
  </si>
  <si>
    <t>227</t>
  </si>
  <si>
    <t>高新区人民医院公共卫生（感染性疾病、发热）门诊工程</t>
  </si>
  <si>
    <t>建设高新区人民医院公共卫生（感染性疾病、发热）门诊。</t>
  </si>
  <si>
    <t>珠高发投〔2021〕50号</t>
  </si>
  <si>
    <t>228</t>
  </si>
  <si>
    <t>广达唐公祠维修工程</t>
  </si>
  <si>
    <t>主要工程内容为对广达唐公祠屋面、梁架、墙体和门窗等构件的风化磨损进行修缮，对天井、地面后期加建问题进行整治等。</t>
  </si>
  <si>
    <t>珠高发投〔2020〕15号</t>
  </si>
  <si>
    <t>229</t>
  </si>
  <si>
    <t>淇澳兆征广场优化升级项目</t>
  </si>
  <si>
    <t>主要工程内容为改造苏兆征广场约3700平方米，包括广场地面铺装、原有舞台改造，新建景墙和树池、周边绿化景观提升等。</t>
  </si>
  <si>
    <t>珠高发投〔2017〕25号</t>
  </si>
  <si>
    <t>230</t>
  </si>
  <si>
    <t>唐家湾镇共乐幼儿园工程</t>
  </si>
  <si>
    <t>用地面积4700㎡，总建筑面积3525㎡，建设规模为12个班。</t>
  </si>
  <si>
    <t>2012-2015</t>
  </si>
  <si>
    <t>珠发改高新[2012]45号</t>
  </si>
  <si>
    <t>231</t>
  </si>
  <si>
    <t>金鼎中学改扩建工程（一期）</t>
  </si>
  <si>
    <t>食堂1343.18平方米、4#教学实验楼4170平方米、3#教学楼3693.21平方米、风雨操场4896.55平方米、风雨连廊（一段）166.4平方米。</t>
  </si>
  <si>
    <t>珠发改高新[2014]12号</t>
  </si>
  <si>
    <t>232</t>
  </si>
  <si>
    <t>银坑蚝场搬迁安置工程（银溪雅苑）</t>
  </si>
  <si>
    <t>项目用地面积30242.89㎡，总建筑面积131778.30㎡，项目总投资79147.48万元。用地功能为土地用途为二类住宅，设两层地下室，地下室面积约为3.5万㎡ ；建设6栋住宅（1、3、4栋为25层；5、6栋为24层；2栋为20层）及1栋5层邻里中心。</t>
  </si>
  <si>
    <t>珠高发投[2020]13号</t>
  </si>
  <si>
    <t>233</t>
  </si>
  <si>
    <t>唐家古镇保护与发展项目---山房路改造工程（二期）</t>
  </si>
  <si>
    <t>道路改造长度 985.298m，改造宽度3～18m；其中山房路(CK0+460.7～985.298 路段)按市政道路标准改造，山房路(CK0+000～CK0+460.7 路段)按步行街标准改造。</t>
  </si>
  <si>
    <t>珠高发投〔2019〕72号</t>
  </si>
  <si>
    <t>234</t>
  </si>
  <si>
    <t>实施乡村振兴战略-会同那洲社区连片提升项目</t>
  </si>
  <si>
    <t>本工程位于珠海高新区唐家湾镇会同社区和那洲社区，那洲社区美丽乡村治理范围约681.25公顷，会同社区美丽乡村治理范围980.61公顷。</t>
  </si>
  <si>
    <t>珠高发投〔2019〕77号</t>
  </si>
  <si>
    <t>235</t>
  </si>
  <si>
    <t>珠海高新区会同那洲绿道环线提升项目</t>
  </si>
  <si>
    <t>那洲绿道全线（大小环线）景观提升，增加照明设计、监控设计，沿线增设驿站，对休憩点、绿道及绿道两侧边坡绿化、水沟进行景观提升，对局部道路进行基层巩固修复，对沿路围墙外立面进行统一美化处理。</t>
  </si>
  <si>
    <t>珠高发投审〔2022〕19号</t>
  </si>
  <si>
    <t>236</t>
  </si>
  <si>
    <t>高新区东岸社区微改造项目</t>
  </si>
  <si>
    <t>雨污水管网改造、弱电下地、社区入口广场改造、路灯亮化、道路升级等。</t>
  </si>
  <si>
    <t>珠高发投〔2019〕78号</t>
  </si>
  <si>
    <t>237</t>
  </si>
  <si>
    <t>唐家古镇保护与发展项目---唐乐路改造工程</t>
  </si>
  <si>
    <t>道路改造长度 640.749m，红线宽度 24m，全线按市政道路标准改造。</t>
  </si>
  <si>
    <t>珠高发投〔2019〕73号</t>
  </si>
  <si>
    <t>238</t>
  </si>
  <si>
    <t>珠海市高新区会同那洲连片打造示范区—那洲旧村范围内项目</t>
  </si>
  <si>
    <t>本工程涵盖的建设内容主要包括：道路工程、管线工程、景观工程、照明工程、房屋修缮等。</t>
  </si>
  <si>
    <t>珠高发投〔2021〕74号</t>
  </si>
  <si>
    <t>239</t>
  </si>
  <si>
    <t>珠海市高新区会同那洲连片打造示范区—那洲旧村范围内项目（二期）</t>
  </si>
  <si>
    <t>项目位于高新区唐家湾镇那洲社区内，项目总建筑面积约为27004.78平方米，主要建设内容包括景观工程、道路工程、建筑工程、管线工程、强弱电迁改工程等。其中景观工程约为13000平方米；道路工程巷道宽约 4-6米，总长度约为 2200米；建筑工程有村内5栋老屋修缮、那洲艺术中心提升改造约3600平方米；管线工程总长约为2200米，七个广场给排水提升改造，约13000平方米；强弱电迁改工程，强电总长约为400米，那洲社区整村弱电下地及规整。</t>
  </si>
  <si>
    <t>珠高发投审〔2022〕32号</t>
  </si>
  <si>
    <t>240</t>
  </si>
  <si>
    <t>唐家古镇保护与发展项目---大同路改造工程</t>
  </si>
  <si>
    <t>道路改造长度 532.308m，改造宽度 3～9m，大同路全路段按步行街标准改造。</t>
  </si>
  <si>
    <t>珠高发投〔2019〕71号</t>
  </si>
  <si>
    <t>241</t>
  </si>
  <si>
    <t>唐家古镇保护与发展项目---唐中路改造工程</t>
  </si>
  <si>
    <t>道路整体呈南北走向，南起山房路，北接唐乐路，道路改造长度 377.777m，红线宽度 18m，全线按市政道路标准改造。</t>
  </si>
  <si>
    <t>珠高发投〔2019〕66号</t>
  </si>
  <si>
    <t>242</t>
  </si>
  <si>
    <t>淇澳农贸市场（含干货街）工程</t>
  </si>
  <si>
    <t>工程内容包括土建工程、电气工程、电梯工程、给排水工程、景观绿化工程等。</t>
  </si>
  <si>
    <t>珠高发投〔2018〕66号</t>
  </si>
  <si>
    <t>243</t>
  </si>
  <si>
    <t>唐家古镇保护与发展项目—环山路及配套截洪沟工程</t>
  </si>
  <si>
    <t>环山路登山步道长度约1.5千米、截洪沟工程长度约1.2千米及配套边坡治理工程等，工程包括：给排水工程、景观工程、水工结构工程、岩土工程等。</t>
  </si>
  <si>
    <t>珠高发投〔2019〕67号</t>
  </si>
  <si>
    <t>244</t>
  </si>
  <si>
    <t>淇澳社区综合服务中心及生态停车场工程</t>
  </si>
  <si>
    <t>本项目位于珠海高新区淇澳社区，总用地面积为8407平方米，其中建筑占地面积1270平方米，生态停车场面积1017平方米，周边环境及社区中心广场面积6120平方米，主要工程内容为新建1栋3层淇澳社区综合服务中心大楼和社区中心广场景观及停车场等。</t>
  </si>
  <si>
    <t>珠高发投〔2017〕145号</t>
  </si>
  <si>
    <t>245</t>
  </si>
  <si>
    <t>唐家古镇市政基础设施改造项目---山房路改造工程</t>
  </si>
  <si>
    <t>本工程位于珠海高新区唐家古镇，北起华夏路，南至龙庆街，建设为古镇步行街，设计总长度526米，主要建设内容包括绿化工程、景观工程、管线工程、水工结构工程、照明工程、临时交通工程等。</t>
  </si>
  <si>
    <t>珠高发投〔2018〕189号</t>
  </si>
  <si>
    <t>246</t>
  </si>
  <si>
    <t>唐家古镇保护与发展项目—唐乐社区3号泵站及周边环境提升工程</t>
  </si>
  <si>
    <t>工程位于珠海市高新区山房路与华夏路交界，包含污水提升泵站一处、景观廊亭一座、山房路口及路靠原明园酒楼一侧的景观提升工程等。</t>
  </si>
  <si>
    <t>珠高发投〔2021〕20号</t>
  </si>
  <si>
    <t>247</t>
  </si>
  <si>
    <t>唐家古镇保护与发展项目---建设指挥部配套工程</t>
  </si>
  <si>
    <t>本工程位于珠海高新区山房路主要建设内容为旧楼房翻新装修，配套室外景观绿化、安防监控设施等。</t>
  </si>
  <si>
    <t>珠高发投[2018]227号</t>
  </si>
  <si>
    <t>248</t>
  </si>
  <si>
    <t>会同宅基地周边环境提升及配套设施工程</t>
  </si>
  <si>
    <t>项目位于会同社区，主要建设内容为地面铺装，给排水工程，电气工程，周边绿化种植及配套活动场地等，地面铺装和绿化面积约10000平方米。</t>
  </si>
  <si>
    <t>珠高发投〔2019〕57号</t>
  </si>
  <si>
    <t>249</t>
  </si>
  <si>
    <t>唐家古镇市政基础设施改造项目--龙庆街道路改造工程</t>
  </si>
  <si>
    <t>本工程位于珠海高新区唐家古镇，南起唐南路，北至山房路，建设为古镇步行街，设计总长度239米，主要建设内容包括绿化工程、景观工程、管线工程、水工结构工程、照明工程、临时交通工程等。</t>
  </si>
  <si>
    <t>珠高发投〔2019〕24号</t>
  </si>
  <si>
    <t>250</t>
  </si>
  <si>
    <t>高新区社区综合服务中心工程</t>
  </si>
  <si>
    <t>本项目占地面积约3116㎡， 总建筑面积6248㎡，其中地上建筑面积约为4441平方米，地下建筑面积约为1807.18平方米，项目总投资约3329.01万元。建设内容主要为方型建筑一栋，设置有内庭院，建筑主体地上7层，地下1层。主要工程内容建筑、结构、给排水、建筑电气(强电，弱电)、空调、通风、消防、人防、防雷、绿化、景观及管线等。</t>
  </si>
  <si>
    <t>珠高发投〔2016〕80号</t>
  </si>
  <si>
    <t>251</t>
  </si>
  <si>
    <t>高新区社区集体经济三资监管交易中心工程</t>
  </si>
  <si>
    <t>位于高新区金峰中路208号金鼎镇政府大院内，新建一栋两层高，建筑面积约700平方米的三资交易中心，包括土建、安装、室内装修、室外配套等。</t>
  </si>
  <si>
    <t>珠发改高新〔2014〕75号</t>
  </si>
  <si>
    <t>252</t>
  </si>
  <si>
    <t>珠海高新区科创北消防新建项目</t>
  </si>
  <si>
    <t>本工程位于高新区新沙五路北、新湾七路西侧，项目用地面积约7,673.07平方米，项目总建筑面积9,343.30平方米，其中地上建筑面积为5,928.30平方米，主要包括一级消防站、消防救援站、及配套架空层；地下建筑面积3,415平方米，主要包括人防地下车库、地下消防救援训练场、消防水池及水泵房等。主要建设内容包括修建备勤楼、执勤楼、训练楼。</t>
  </si>
  <si>
    <t>珠高发投审〔2022〕11号</t>
  </si>
  <si>
    <t>253</t>
  </si>
  <si>
    <t>消防民生实事综合建设项目</t>
  </si>
  <si>
    <t>推广简易消防设施（烟感探测器和简易喷淋设施）、市政道路室外消火栓监测装置、消防主机联网装置、消控室在离岗监测设备、消防车通道占用监测设备、消防管网压力及液位监测设备、独立式智能烟感报警器、智慧微型断路器等案装和运维服务。</t>
  </si>
  <si>
    <t>珠高会纪〔2022〕23 号</t>
  </si>
  <si>
    <t>254</t>
  </si>
  <si>
    <t>银星小型消防站</t>
  </si>
  <si>
    <t>项目用地面积2000㎡，建筑面积1000㎡，建设内容包括备勤值班室、消防车库、食堂、消防器材室等。</t>
  </si>
  <si>
    <t>255</t>
  </si>
  <si>
    <t>高新区专业应急队伍训练基地建设工程</t>
  </si>
  <si>
    <t>本工程位于高新区唐家油库南侧，石坑山山脚。总用地面积为5316.61㎡。建筑总面积为10800㎡，地下建筑面积（不计容）350㎡，地上建筑面积10450㎡；主要建设内容包括业务用房和辅助用房、三防办及森林防火物资储备库、室外训练场地等。总停车位24个。</t>
  </si>
  <si>
    <t>珠高发投〔2020〕70号</t>
  </si>
  <si>
    <t>256</t>
  </si>
  <si>
    <t>区应急指挥综合建设项目——高新区城市安全风险监测预警平台及区应急指挥中心建设项目</t>
  </si>
  <si>
    <t>项目建设区应急指挥中心场所，配置融合通信等信息化设备；对三防、森林防灭火系统进行本地化部署和适配；通过汇聚接入数字高新以及各部门已有城市安全数据，并针对三防、森火、燃气等重点领域，新增布设前端物联网传感器和移动监测设备；扩展强化现后方通讯手段，建设车载现场调度系统，增置泵车、设备运输车等应急处置系统，提高应急处置保障能力支撑。</t>
  </si>
  <si>
    <t>2022.12.12批复文件</t>
  </si>
  <si>
    <t>257</t>
  </si>
  <si>
    <t>2017年高新区防火林带抚育及新建消防设施工程</t>
  </si>
  <si>
    <t>对高新区防火林带进行抚育。</t>
  </si>
  <si>
    <t>珠高发投[2018]173号</t>
  </si>
  <si>
    <t>258</t>
  </si>
  <si>
    <t>2016年珠海高新区新建高位蓄水池及生物防火林带幼林抚育工程</t>
  </si>
  <si>
    <t>清理林带周边灌木及补种苗木等及增加高位水池。</t>
  </si>
  <si>
    <t>珠高发投[2018]12号</t>
  </si>
  <si>
    <t>259</t>
  </si>
  <si>
    <t>2016年春季生物防火林带维护工程</t>
  </si>
  <si>
    <t>清理林带周边灌木及补种苗木等。</t>
  </si>
  <si>
    <t>珠高发投〔2016〕76号</t>
  </si>
  <si>
    <t>260</t>
  </si>
  <si>
    <t>珠海高新区唐家湾园区精神堡垒项目</t>
  </si>
  <si>
    <t>本项目初定在唐家湾园区设置 11 个户外标牌点，分别为南软路口、珠海北站、兴北路交新湾七路路口、下栅检查站、南软办税服务厅门前、那洲路口、金凤路东侧、唐家湾站、大浪湾、淇澳红树林入口、金峰西路与岐关路交汇处，后续可根据实际情况增加相关点位。</t>
  </si>
  <si>
    <t>珠高发投〔2021〕79号</t>
  </si>
  <si>
    <t>根据施工合同，质保金待2024年2月质保期到期后支付，金额为154103.27元；根据代建管理合同，10%的代建管理费在工程质保期满后支付，金额为7401.80元；根据监理合同，在质保期到期后支付5%的监理费，金额为4160.79元。三项合计为165665.86元。</t>
  </si>
  <si>
    <t>261</t>
  </si>
  <si>
    <t>高新区“一网统管”基础服务平台</t>
  </si>
  <si>
    <t>通过搭建“一网统管”基础能力平台，包括粤治慧基础平台、数据融合平台、指标能力平台、协同管理平台、监督管理平台等，打造基础平台支撑能力，实现与现有信息化系统的互融互通，并与省市一网统管平台实现数据互联互通；推动建立城市运行分析模型；通过建设协同管理标准、监督管理标准以及城市运行指标等标准框架，建立“一网统管”运维、运行管理体系及保障措施。</t>
  </si>
  <si>
    <t>262</t>
  </si>
  <si>
    <t>珠海（国家）高新技术产业开发区管理委员会党政办公室电子公文系统国产化改造工程</t>
  </si>
  <si>
    <t>主要内容包括高新区办公自动化系统和干部人事档案管理系统进行国产化改造。</t>
  </si>
  <si>
    <t>区主任办公会议决定事项通知〔2020〕4号</t>
  </si>
  <si>
    <t>263</t>
  </si>
  <si>
    <t>淇澳红色美丽乡村建设项目</t>
  </si>
  <si>
    <t>淇澳红色美丽乡村建设项目位于珠海市高新区淇澳岛，自淇澳岛入口起，沿主要道路环村域中心一圈，总体研究范围约为23.8平方公里，核心研究范围约为100公顷。工程建设主要内容包括：建筑工程、景观工程以及市政工程等。</t>
  </si>
  <si>
    <t>珠高发投审〔2021〕10号</t>
  </si>
  <si>
    <t>高新区2024年政府投资项目计划（续建）</t>
  </si>
  <si>
    <t>建设
单位</t>
  </si>
  <si>
    <t>总投资</t>
  </si>
  <si>
    <t>项目紧迫性排序（1，2..）</t>
  </si>
  <si>
    <t>合计(36)</t>
  </si>
  <si>
    <t>珠海市金溪大道新建工程（高新区段一期）</t>
  </si>
  <si>
    <t>本项目位于金唐西路与金环路交叉路口，主要建设内容包括道路工程、桥涵工程、管线工程、照明工程、交通及安监工程、景绿化工程等。新建道路总长为2066米，红线宽45米；其中起点桥梁长380米，宽度27米。</t>
  </si>
  <si>
    <t>珠高发投审〔2022〕3号</t>
  </si>
  <si>
    <t>珠海市高新区金溪大道（高新区段二期）新建工程</t>
  </si>
  <si>
    <t>建设长度约1.8km，红线宽度45m。</t>
  </si>
  <si>
    <t>珠高发投审〔2022〕46号</t>
  </si>
  <si>
    <t>广东省珠海市大湾区智造产业园及配套服务设施项目-二线公路改造提升及衔接通道工程</t>
  </si>
  <si>
    <t>包括3条道路、3条排洪渠及3段电力隧道；市政道路包括次干路二线公路、主干路金丰一路以及支路550kv金鼎站配套路，设计总长约7.92km；排洪渠包括甲背坑排洪渠、谭井排洪渠、谭井水库排洪渠共3条排洪渠，总长约1.0km；电力隧道包括金鼎站进站路、二线公路段（金园五路~金园二路）电力隧道，设计总长约1.47km。</t>
  </si>
  <si>
    <t>珠高发投审〔2022〕68号</t>
  </si>
  <si>
    <t>广东省珠海市大湾区智造产业园及配套服务设施项目-五桂山高位水池及金鼎2#泵站</t>
  </si>
  <si>
    <t>新建一座五桂山高位水池，规划容积10000立方米，池底高程50米；新建一座加压泵站，规划规模2500立方米/小时，已经配建管道总长约2.8千米</t>
  </si>
  <si>
    <t>珠高发投审〔2022〕76号</t>
  </si>
  <si>
    <t>二线公路外5处裸露山体复绿工程</t>
  </si>
  <si>
    <t>项目面积约55.24公顷，包含清理坡面、客土喷播、挡土堤、截水沟、排水沟、种植乔木、种植灌木等内容。</t>
  </si>
  <si>
    <t>2021-2025</t>
  </si>
  <si>
    <t>珠高发投审〔2022〕56号</t>
  </si>
  <si>
    <t>珠海市高新区500kV金鼎站配套市政电缆隧道新建工程</t>
  </si>
  <si>
    <t>本工程（项目编码：2205-440400-04-01-331945）位于珠海市高新区金鼎片区，新建220KV电缆隧道，起点二线公路，终点接金溪珠海高新技术产业开发区发展改革和财政金融局文件大道电缆隧道，采用单舱、双舱结合形式，全长约3.96km，其中二线公路-金环路段新建十二回路220KV双舱电缆隧道，长度约0.84km，断面外尺寸B*H=6.7*4.0，局部顶管段为2个Ф3.5m内径圆形电缆隧道；金环路段新建六回路220KV单舱电缆隧道，长度约3.12km，断面外尺寸B*H=3.6*4.0m；项目建设主要内容包括基坑支护工程、主体结构工程、工艺工程、通风工程、保护及拆除恢复工程。</t>
  </si>
  <si>
    <t>2023-2025</t>
  </si>
  <si>
    <t>珠高发投审〔2022〕75号</t>
  </si>
  <si>
    <t>珠海市高新区220kV永丰站配套市政电缆隧道新建工程（一期）</t>
  </si>
  <si>
    <t>本工程一期实施二线公路、金鼎西路、金环路、中珠渠北路、中珠渠南路。一期建设内容包括新建 220kV 四回路电力隧道约 3.28km，采用单舱形式，断面尺寸B×H=2.80m×2.60m；新建 110kV 六回路电缆沟，约 5.39km，断面尺寸 B×H=2.06m×2.68m。</t>
  </si>
  <si>
    <t>珠高发投审〔2023〕10号</t>
  </si>
  <si>
    <t>金唐东路（二期）工程</t>
  </si>
  <si>
    <t>项目起点接现状金唐东路（一期）、与哈工大延长线Ｔ型平面交叉，路线以隧道形式穿越小南山北路、同时穿越中大建设用地，于唐南路以西出洞，分别与唐南路、港湾大道平面交叉，建设规模为新建长约2.3公里双向4车道城市次干路，其中隧道长度约2.3公里，隧道预留双向6车道宽度。</t>
  </si>
  <si>
    <t>珠高发投审〔 2019〕60号</t>
  </si>
  <si>
    <t>珠海市高新区京珠西B组团配套市政基础设施新建工程</t>
  </si>
  <si>
    <t>本片区位于中珠排洪渠与金鼎东路交界北侧，地块总面积约40ha，建设内容包括5条道路（2.19km)及场地平整。</t>
  </si>
  <si>
    <t>珠高发投审〔2022〕34号</t>
  </si>
  <si>
    <t>珠海市高新区排水管网病害修复工程一期工程</t>
  </si>
  <si>
    <t>珠海供排水管网有限公司</t>
  </si>
  <si>
    <t>珠海市高新区排水管网病害修复工程一期工程共修复北围、金鼎、唐家、前环、鸡山、后环等片区内市政道路约28条，其中开挖修复污水管长度约3.75km;开挖修复雨水管长度约为3.2km;CIPP紫外线光固化整修长度约0.9km;CIPP点状原位固化修复约337环。</t>
  </si>
  <si>
    <t>珠高发投审〔2022〕72号</t>
  </si>
  <si>
    <t>淇澳红树林路工程</t>
  </si>
  <si>
    <t>本工程位于珠海市高新区唐家湾片区淇澳岛，线路总体呈北西走向，项目起点位于淇澳环岛路（东线），项目终点接在建的红林路（X588），路线全长2020.17m。本项目工作范围含道路工程、管线工程、箱涵工程、交通工程、景观工程、照明工程等。</t>
  </si>
  <si>
    <t>珠高发投〔2020〕25号</t>
  </si>
  <si>
    <t>珠海市高新区金鼎东路（金环路-中珠渠南路段）配套道路新建工程</t>
  </si>
  <si>
    <t>项目位于珠海高新区的金鼎片区，工程建设内容包含1条市政道路、1座桥梁和1条市政排洪渠和1座临时钢便桥。项目实施内容包括道路工程、污水工程、雨水工程、桥涵工程、排洪渠工程、给水工程、预留沟工程、缆线管廊工程、照明工程、绿化景观工程、安监工程、交通设施、海绵城市工程、预留燃气管位等。</t>
  </si>
  <si>
    <t>珠高发投审〔2022〕117号</t>
  </si>
  <si>
    <t>广东省珠海市大湾区智造产业园及配套服务设施项目-ABCD片区市政配套工程</t>
  </si>
  <si>
    <t>包括9条道路、2条排洪渠及4条截洪沟；市政道路包括规划一路、规划二路等9条支路，设计总长约4.60km；排洪渠包括五桂山2#排洪渠、河屋坑排洪渠共2条排洪渠，总长约1.23km；截洪沟共4条，设计总长约1.20km。</t>
  </si>
  <si>
    <t>珠高发投审〔2022〕77号</t>
  </si>
  <si>
    <t>高新区智慧水务工程</t>
  </si>
  <si>
    <t>1.智慧水务管理平台；
2.30个污水管网监测点；
3.27处河涌水系监测点
4.3处内涝监测点；
5.11处水闸监测点；
6.7处海堤监测点；
7.3个水库监测点。</t>
  </si>
  <si>
    <t>珠高发投审〔2023〕2号</t>
  </si>
  <si>
    <t>完成结算</t>
  </si>
  <si>
    <t>珠海市高新区东岸留思山片区滞泄洪提升项目</t>
  </si>
  <si>
    <t>本项目位于留思山东侧，总占地面积约21.9公顷，其中水面积4.7公顷,陆域面积17.2公顷。项目主要建设内容包括：泄滞洪水道、6米宽。</t>
  </si>
  <si>
    <t>珠高发投审〔2023〕1号</t>
  </si>
  <si>
    <t>珠海市高新区金鼎山南片区配套基础设施新建工程</t>
  </si>
  <si>
    <t>本工程（项目编码：2201-440402-04-01-920537）位于高新区金鼎片区，新建4条道路，道路总长1820米。其中金园路长约500米，宽34米；规划一路长约307米，宽20米；规划二路长约550米，宽20米；规划三路长约463米，宽20米。场地平整面积约108,385.78平方米，修建排洪渠长575.64米,断截面6*3米。建设内容包括道路工程、配套市政给水、污水和雨水、照明电缆沟及通信沟设计等。</t>
  </si>
  <si>
    <t>珠高发投审〔2022〕48号</t>
  </si>
  <si>
    <t>2023年度珠海市高新区老旧小区改造提升工程</t>
  </si>
  <si>
    <t>龙珠花园、丁婶花园、 唐家花园、唐家乐园、唐家供水楼等个城镇老旧小区改造工程。5个城镇老旧小区改造工程。建设内容：
1.建筑本体修缮：楼梯和公共空间修缮；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t>
  </si>
  <si>
    <t>珠高发投审〔2023〕12号</t>
  </si>
  <si>
    <t>珠海市高新区会同集配套市政基础设施新建工程</t>
  </si>
  <si>
    <t>位于北师大西侧，建设内容包括5条配套道路约2km，3条排洪渠及场地平整。</t>
  </si>
  <si>
    <t>珠高发投审〔2022〕51号</t>
  </si>
  <si>
    <t>高新区正坑、潭井、佛迳水库除险加固工程</t>
  </si>
  <si>
    <t>对正坑、潭井、佛迳水库进行坝体加固及清淤。</t>
  </si>
  <si>
    <t>珠高发投审〔2023〕7号</t>
  </si>
  <si>
    <t>专项债、国债</t>
  </si>
  <si>
    <t>金凤渠（南围段）东侧道路工程</t>
  </si>
  <si>
    <t>项目位于珠海高新区金凤渠东侧，主要工程内容为新建三条市政道路，道路设计总长约2507米，其中科技一路至科技二路设计长度约490米，道路红线宽度为12米，道路等级为城市支路；科技二路至南围海堤设计长度约1375米，道路红线宽度为30米，道路等级为次干路；创意中路金凤渠桥梁设计长度约为307米，道路红线宽度为34米，道路等级为城市主干路。金凤北路设计长度约为336米，道路红线宽度规划为52米，道路等级为主干路。</t>
  </si>
  <si>
    <t>珠高发投审〔 2020〕39号</t>
  </si>
  <si>
    <t>高新区前环3号排洪渠及周边配套市政建设工程</t>
  </si>
  <si>
    <t>本项目建设内容包含前环3号排洪渠、截洪沟、水闸、调蓄湖、碧道及其他配套市政工程等，改造3号排洪渠断面尺寸3.0~7.0m（渠底宽）×3.0m，采用梯形断面形式，生态植草坡面，渠道纵坡为0.5‰~3.6‰，设计长度约为1.5km；新建大海饲料厂过路单孔箱涵一处，断面尺寸1-5.0m×2.0m，长度约15m；渠道末端下穿情侣北路及海堤新建双孔箱涵，断面尺寸2-5.0m×3.0m，长度约77m，涵前新建单孔水闸宽8m，设计闸底标高-0.30m，设计过闸流量31.6m³/s；新建环石坑山新建截洪沟长度约337m，断面尺寸2.5m×1.5m；改造现状调蓄湖一处面积约1.5ha，调蓄容积约 2.7万m³。</t>
  </si>
  <si>
    <t>珠发高投〔2022〕68号</t>
  </si>
  <si>
    <t>珠海市高新区湾区智造AI产业创新中心片区配套基础设施新建工程</t>
  </si>
  <si>
    <t>建设内容包括一条排洪渠新建工程；金鸿六路以东、岐关路以南地块土地平整工程；五条道路基础设施：金鸿四路（岐关路-金唐西路段）、金鸿五路（岐关路-金唐西路段）、金鸿七路（岐关路-金唐西路段）、金品二路（岐关路-金鼎西路段）。</t>
  </si>
  <si>
    <t>珠高发投审〔2022〕42号</t>
  </si>
  <si>
    <t>金凤排洪渠（凤凰山隧道北-南围海堤段）综合整治工程</t>
  </si>
  <si>
    <t>项目起于凤凰山隧道北出口，止于南围海堤。包含两侧慢性系统的贯通，驿站、活动场地等配套设施完善；修建道路共计约1,024米；新建2座桥梁，拆除3座，提升5座；排洪渠修建工程长5,350米，含挡墙重建或加固、渠底清淤、两岸步道建设等。</t>
  </si>
  <si>
    <t>珠高发投审〔 2021〕 11号</t>
  </si>
  <si>
    <t>中珠渠南路工程</t>
  </si>
  <si>
    <t>本工程位于珠海高新区金鼎片区，西起金环路，东至京珠高速西辅道，道路全长约3426米，道路红线宽度为24米，道路等级为城市次干路，双向4车道，设计时速为40公里每小时。</t>
  </si>
  <si>
    <t>2019-2024</t>
  </si>
  <si>
    <t>珠高发投〔2018〕73号</t>
  </si>
  <si>
    <t>企业围墙、征拆、垃圾、电力迁改</t>
  </si>
  <si>
    <t>珠海高新区东岸中学及景阳小学配套设施建设工程</t>
  </si>
  <si>
    <t>本工程位于珠海市高新区科技四路北侧、万科红树东岸西侧，项目占地面积约42,756.89平方米，总建筑面积约39679.29平方米。工程内容包括基坑支护工程、土建工程（含基础、 结构、建筑等）、人防工程、安装工程（含给排水、电气、智能化、消防、通风等）、电梯工程、抗震支架工、室外工程（含景观、绿化、道路、围墙、室外电器、室外给排水等）、海绵城市等。</t>
  </si>
  <si>
    <t>珠高发投审〔2022〕10号</t>
  </si>
  <si>
    <t>珠海高新区海怡湾畔小学及配套市民停车场新建工程</t>
  </si>
  <si>
    <t>项目规划暂定用地面积：13232.83平方米，建设规模为24班完全小学，提供1080个小学学位。项目总建筑面积约为27499.50平方米,其中地上建筑面积18532.25平方米，主要功能包括教学楼、体育馆及配套设施综合楼；地下室建筑面积8967.25平方米，主要功能包括人防地下车库、消防水池及水泵房等。</t>
  </si>
  <si>
    <t>珠高发投审〔2022〕16号</t>
  </si>
  <si>
    <t>珠海高新区北沙片区幼儿园新建工程</t>
  </si>
  <si>
    <t>九洲建投</t>
  </si>
  <si>
    <t>项目建设用地面积5178平方米，建设内容为建设1所15班规范化幼儿园，可提供450个学位。建设内容包括教学综合楼、室外运动场地等。</t>
  </si>
  <si>
    <t>珠高发投审[2022]58号</t>
  </si>
  <si>
    <t>总包760万，监理22万</t>
  </si>
  <si>
    <t>珠海高新区那洲片区幼儿园新建工程</t>
  </si>
  <si>
    <t>项目建设用地面积5000平方米，建设内容为建设1所15班规范化幼儿园，可提供450个学位。建设内容包括教学综合楼、室外运动场地等。</t>
  </si>
  <si>
    <t>珠高发投审[2022]57号</t>
  </si>
  <si>
    <t>总包760万，监理19万</t>
  </si>
  <si>
    <t>珠海市人民医院医疗集团高新医院（珠海高新区人民医院）信息化建设项目</t>
  </si>
  <si>
    <t>区社会事业局/区人民医院</t>
  </si>
  <si>
    <t>本工程位于珠海市高新区，项目建设内容涵盖就医服务、临床诊疗、临床护理、药事管理、医技业务、医疗管理和数据中心、网络系统、信息安全系统等配套基础设施。以信息平台建设为基础，搭建临床数据中心和运营数据中心，构建以诊疗为主线、电子病历为核心、患者服务为中心的医院信息化系统，推动移动护理、移动查房、电子签名无纸化管理等系统的运用，实现系统间的互联互通，实现临床数据和运营数据的应用。通过本项目医院整体信息化可达到 80%以上覆盖率的建设规模,基本建成智慧服务、智慧医疗、智慧管理“三位一体”的智慧医院信息化系统。</t>
  </si>
  <si>
    <t>珠高发投审〔2023〕8号</t>
  </si>
  <si>
    <t>珠海高新区人民医院北围院区新建工程（一期）</t>
  </si>
  <si>
    <t>项目位于珠海市高新区北围片区新湾八路西、新沙六路北侧。本项目按照1000张床位规模规划建设，占地面积为57009.82㎡，总建筑面积为203530.68㎡，地上建筑面积为123060.00㎡，地下建筑面积为80470.68㎡。主要建设内容包括新建1栋门急诊医技住院综合楼、1栋健康管理中心及科研行政综合楼、液氧站、污水处理站、地下室、配套公用工程、室外工程等。</t>
  </si>
  <si>
    <t>2022-2026</t>
  </si>
  <si>
    <t>珠高发投审〔2023〕13号</t>
  </si>
  <si>
    <t>一标段预算22794.40。二标段预算报审中，待完成招标后，数据会有变动。</t>
  </si>
  <si>
    <t>卢氏孖祠修缮工程</t>
  </si>
  <si>
    <t>卢氏孖祠主座地面、墙壁、屋顶修缮。</t>
  </si>
  <si>
    <t>珠高发投〔2023〕27号</t>
  </si>
  <si>
    <t>珠海市高新区不可移动文物（上栅那洲片区）修缮项目</t>
  </si>
  <si>
    <t>本工程主要对上栅那洲片区的不可移动文物：上栅易初卢公祠、那洲炮楼、清晓古公祠（详见下表）进行修缮。文物本体面积合共约1400平方米。包括但不限于墙体、地面、屋面、木构件、石作构件、砖作构件、灰塑。本项目总投资约863万。</t>
  </si>
  <si>
    <t>珠高发投[2023]15号</t>
  </si>
  <si>
    <t>珠海市高新区不可移动文物（唐家鸡山淇澳片区）修缮项目</t>
  </si>
  <si>
    <t>对唐家鸡山淇澳片区的不可移动文物：翠屏唐公祠、月奇梁公祠、淇澳文昌宫、唐家龙岗古庙、佩玉梁公祠、鸡山武侯庙、唐家古围墙进行修缮。文物本体面积合共约1380平方米。对文物本体的墙面、屋面、地面、木石作构件、灰塑构件进行修缮。</t>
  </si>
  <si>
    <t>珠高发投[2023]16号</t>
  </si>
  <si>
    <t>珠海市高新区AI产业创新中心片区标准厂房项目</t>
  </si>
  <si>
    <t>项目占地面积为152273.54㎡，总建筑面积为570334.34㎡。其中，地上建筑面积为475342.76平方米，地下建筑面积为94991.58平方米。工程建设包含5栋生物制药厂房，2栋高标准厂房，3栋医疗器械厂房，8栋研发厂房，1栋甲类库房，1栋废水处理站，其中 1、2、4 号地块带地下室，3号地块无地下室。项目主要建设内容包括厂房、宿舍及食堂、开关房等，项目以生物医药、医疗器械产业为核心，建成后主要用于智能医疗器 械设备、生物医药、生物制剂等产品的生产。</t>
  </si>
  <si>
    <t>珠高发投审[2022]63号</t>
  </si>
  <si>
    <t>1、根据实际情况预估，预计24年上半年完工进行测算。
2、24年一类费投资额预计34596万，二类费投资额预计1100万，合计35696万。
3、24年资金计划包括：进度款(23年12月份+24年1-5月) 预计41456万，二类费预计1337万，合计42793万(未含结算款、质保金)。</t>
  </si>
  <si>
    <t>珠海市高新区淇澳岛中心河排洪渠项目改建工程</t>
  </si>
  <si>
    <t>本项目位于珠海市高新区淇澳岛，总长度约1.17km。主要建设内容包含：照明工程、绿化工程、支护工程等。</t>
  </si>
  <si>
    <t>珠高发投审〔2023〕6号</t>
  </si>
  <si>
    <t>珠海市高新区实景三维数据建设项目</t>
  </si>
  <si>
    <t>建成基础数据库，构建城市数字底座与数据呈现工具，具体可概括为：
（1）通过收集、整理高新区三维数据等城市信息，全力推进珠海高新区覆盖约175平方公里的城市实景三维成果，模型精度整体优于5cm，重点区域优于3cm，实现高新区实景三维模型全覆盖，满足城市各类智慧应用对实景三维数据的需求。
（2）建设数据呈现工具，嵌入时空信息管理平台，构建城市数字底座，形成面向政府部门、内容全面、更新及时、权威准确的城市基础信息平台。
实现高新区实景三维模型全覆盖，满足城市各类智慧应用对实景三维数据的需求。</t>
  </si>
  <si>
    <t>附件3</t>
  </si>
  <si>
    <t>高新区2024年政府投资项目计划（新建）</t>
  </si>
  <si>
    <t>预计开工时间</t>
  </si>
  <si>
    <t>项目建设必要性（概括一下）</t>
  </si>
  <si>
    <t>项目进度</t>
  </si>
  <si>
    <t>合计(18)</t>
  </si>
  <si>
    <t>淇澳环岛路（东线）改造工程</t>
  </si>
  <si>
    <t>本工程位于珠海市高新区淇澳岛，本项目概况如下：道路南起淇澳大桥衔接段，北至淇澳大道，道路设计长度为4522.183m，道路红线宽度为40～50m，双向四车道，设计时速60km/h。其中道路右半幅为现状，本次新建左幅机动车道及慢行道并新建（KK3+746.210～K4+522.183）段右半幅新建2m宽人行道。工程建设内容包括：道路工程、管线工程、桥涵工程、照明工程、景观工程、海绵城市、交通设施、安监设施等，其中管线工程近期保留现状管线，按规划预留给水、雨水、污水、缆线管廊（电力及通信）、110kV及燃气管位。本次管线工程主要对道路改造范围内管线检查井、雨水口、消火栓进行改造，并完善道路海绵城市建设。</t>
  </si>
  <si>
    <t>新建</t>
  </si>
  <si>
    <t>珠高发投审〔2023〕23号</t>
  </si>
  <si>
    <t>已完成施工招标，解决节假日进出淇澳岛堵塞问题。</t>
  </si>
  <si>
    <t>正在做施工准备，施作围挡。</t>
  </si>
  <si>
    <t>珠海高新区北沙幼儿园周边道路新建工程</t>
  </si>
  <si>
    <t>项目位于高新区北沙社区，主要建设内容：新建3条支路，双向两车道，设计总长度约930米。主要工程内容：道路工程、给水工程、污水工程、雨水工程、照明工程、绿化景观工程、交通设施、缆线管廊工程等。</t>
  </si>
  <si>
    <t>北沙幼儿园预计明年9月开学，本项目解决幼儿园师生、家长通行问题。</t>
  </si>
  <si>
    <t>正在调设计方案</t>
  </si>
  <si>
    <t>珠海高新区那洲中学东侧道路新建工程</t>
  </si>
  <si>
    <t>本工程位于珠海市唐家湾镇那洲村，道路北起金唐西路（X=1013329.535，Y=395437.446），南至纳水北环路（（X=1012867.829，Y=395843.758）。道路设计全长738.53米，为城市次干路，道路宽度为24m，双向四车道。主要工程内容：道路工程、污水工程、雨水工程、给水工程、电缆沟工程、通信管沟工程、照明工程、海绵城市、交通工程、安监工程、燃气预留及绿化工程。</t>
  </si>
  <si>
    <t>那洲幼儿园、那洲小学预计明年9月开学，解决学校师生、家长通行问题。</t>
  </si>
  <si>
    <t>报前期转新建会议中</t>
  </si>
  <si>
    <t>珠海高新区那洲小学周边配套道路新建工程</t>
  </si>
  <si>
    <t>建设内容主要包括那东一路、那东二路、那洲东路（那东一路至纳水北环路段）等3条新建市政道路，其中那东一路为新建支路，规划宽度为18米，双向两车道，设计长度为229米；那东二路为新建支路，规划宽度为18米，双向两车道，设计长度为211米；那洲东路（那东一路至澳科大西路段）为新建次干路，规划宽度为24米，双向四车道，设计长度为396米。</t>
  </si>
  <si>
    <t>高新区金唐西路北侧、官塘村西侧地块区域整治工程</t>
  </si>
  <si>
    <t>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t>
  </si>
  <si>
    <t>该地块已挂牌出让，现状用地范围内存在高压线、配电站、信号塔等建筑影响项目建设，需进行清理、迁改。</t>
  </si>
  <si>
    <t>正在审批绩效</t>
  </si>
  <si>
    <t>珠海高新区那洲片区小学新建工程</t>
  </si>
  <si>
    <t>珠海高新区那洲片区小学新建工程项目位于珠海市高新区那洲东路（次干路）以东，那东一路（支路）以南。项目用地面积：29378.97平方米，建设规模为36班完全小学，提供1620个小学学位。项目总建筑面积约为27197平方米,其中地上建筑面积23041平方米，主要功能包括教学楼、体育馆及配套设施综合楼；地下室建筑面积4156平方米，主要功能包括人防地下车库、消防水池及水泵房等。</t>
  </si>
  <si>
    <t>珠高发投审〔2023〕20号</t>
  </si>
  <si>
    <t>区管委会要求明年9月份开学，本项目解决那洲、永丰片区学生入学问题。</t>
  </si>
  <si>
    <t>已完成招标，正在办理施工许可证。</t>
  </si>
  <si>
    <t>珠海市高新区中山东部外环（二期）南延段管线迁改工程</t>
  </si>
  <si>
    <t>项目实施内容结合中山东部外环（二期）南延段设计范围（中珠渠以南），对受桥墩影响的管线进行迁改，主要包括给水管线、电力、通信、国防光缆等迁改工程以及配套附属设施（人行道及绿化拆除恢复）等。</t>
  </si>
  <si>
    <t>2024-2025</t>
  </si>
  <si>
    <t>中山东部外环高速公路项目，为深中通道重要连接线工程，纳入省重点项目。本项目管线迁改工程为该项目先行工程。</t>
  </si>
  <si>
    <t>正在编制可研</t>
  </si>
  <si>
    <t>珠海市金鼎中学学生宿舍楼新建工程</t>
  </si>
  <si>
    <t>新建2栋学生宿舍楼及连廊，总建筑面积约为16500 ㎡，含学生宿舍楼学生宿舍 (2-6F):10400 ㎡，食堂(1F)3000 m2，1600 床，地下建筑面积3100㎡。层数6层2栋，建筑高度 23.95M，设置地下停车位50个。</t>
  </si>
  <si>
    <t>区领导督办事项，要在高新区打造寄宿制初中试点，提高初中综合水平。</t>
  </si>
  <si>
    <t>珠海高新区礼和小学运动场改建工程</t>
  </si>
  <si>
    <t>项目位于珠海北站西侧、金业南路北侧，计划将原礼和小学运动场改建，增加停车场配套，同时增加部分功能 室并加装电梯。</t>
  </si>
  <si>
    <t>礼和小学场地凹凸不平，部分地方存在下陷问题，安全隐患大。</t>
  </si>
  <si>
    <t>中山大学附属小学后环校区体育馆提升改造工程</t>
  </si>
  <si>
    <t>项目位于珠海市高新区中山大学附属小学后环校区内，建筑主体为室内体育馆，地上一层，塔楼三层，建筑高度为13.5米，建筑面积2802.65平方米，二级耐火等级，单多层建筑。首层设体育馆、游泳馆，塔楼二层设舞蹈室、三层设设备控制室。主要建设内容为：新建游泳池工程、室内装饰装修工程、电气工程、给排水工程、暖通工程等。</t>
  </si>
  <si>
    <t>中山大学附属小学后环校区运动场场地不足，体育馆移交后，一直处于漏水、失修状态，需要改造提升。</t>
  </si>
  <si>
    <t>正在审批预算</t>
  </si>
  <si>
    <t>珠海市高新区金珠路东侧保障性租赁住房新建工程</t>
  </si>
  <si>
    <t>项目位于珠海市高新区南围片区中珠渠南路南侧、金珠路东侧。用地面积约7351㎡，总建筑面积30059.96平方米，计容建筑面积22053㎡。拟建设邻里中心及保障性租赁住房。</t>
  </si>
  <si>
    <t>根据珠海高新技术产业开发区住房和城乡建设局提供数据，高新区2021-2022年底筹集公共租赁住房共1200套，保障性租赁住房1943套，共有产权住房493个，人才住房2222套。根据《珠海市住房保障专项规划（2021-2035）》、《珠海市住房发展“十四五”规划和二〇三五年远景目标纲要》中规划2025年高新区新增保障性租赁住房1万套，目前缺口8057套。</t>
  </si>
  <si>
    <t>会同乡创文化中心及配套空间项目</t>
  </si>
  <si>
    <t>该项目地处会同南路北侧国有空地，近临会同古村、会同那洲绿道环线入口，总用地面积约52000㎡。其中包含三个地块，地块一为文化活动用地，面积约16000㎡，计划建设游客服务中心、艺术中心等文化项目及配套停车场；地块二为商业用地，面积约5000㎡，拟调整村集体用地覆盖建设主题民宿及美食小街，增加村集体收益；地块三为公园绿地用地，面积约31000㎡，计划建设公园，可考虑帐篷露营营地。</t>
  </si>
  <si>
    <t>项目的实施符合相关规划政策的要求,是贯彻落实乡村振兴战略的重要抓手,是破解城乡发展不平衡难题的重要举措,也是落实珠海市高新区唐家湾镇“大学小镇”文教艺术乡村振兴示范带规划的重要节点。项目的实施具有很好的社会效益,也具有间接的经济效益,能够有效地促进当地社会经济发展,也将为当地民俗、信仰、技艺、人文环境等非物质文化遗产的传承和发展提供重要的载体,促进当地积极探索以文化产业赋能乡村人文资源和自然资源保护利用,形成在活化中有坚守,在坚守中求发展的良性循环和发展新格局。因此,本项目建设是必要且迫切的。</t>
  </si>
  <si>
    <t>正在挂网招标（市绩效审批时间长，推迟了截标时间）</t>
  </si>
  <si>
    <t>专项债（市）</t>
  </si>
  <si>
    <t>珠海市高新区新一代信息技术产业园基础设施配套新建工程（一期）</t>
  </si>
  <si>
    <t>本工程位于珠海市高新区金鼎片区，包括四条市政道路及配套基础设施：金鼎西路（金环路~横二路）为主干路，红线宽度为34m，双向四车道；金鼎中路（金环路~横二路）为次干路，红线宽度为34m，双向四车道；纵一路（金环路~横二路）为支路，红线宽度为20m，双向四车道；横二路（金鼎西路~上下北村）为支路，红线宽度为20m，双向两车道。以及一个地块的场地平整。建设内容包括：道路工程、给水工程、雨水工程、污水工程、预留沟工程、电缆沟工程、通信管沟工程、燃气工程、桥涵工程、照明工程、景观工程、交通设施、安监设施及场平工程。</t>
  </si>
  <si>
    <t>因北沙三生产业园（一期）正在筹备建设中，周边无配套道路通行，建设生产得不到出行保证。本项目的建设是完善规划路网建设，方便沿线居民、厂区的生产、生活活动，可有效提升区域路网通行能力，优化片区道路交通布局，进一步为地区基础设施建设创造有利条件，对促进片区经济发展具有十分重要的意义。</t>
  </si>
  <si>
    <t>珠海高新区仁恒滨海湾配套市政道路新建工程</t>
  </si>
  <si>
    <t>本工程位于珠海市唐家湾东岸片区。工程包含包括东岸北路、东岸南路及田馆二路，道路等级均为城市支路，设计总长931.552m，本次实施长度803.183m，其中东岸南路(BK0+000-BK0+180)为现状改造道路，东岸北路、田馆二路、东岸南路（BK0+180-BK0+552.272）为新建道路。</t>
  </si>
  <si>
    <t>本项目为仁恒滨海湾小区配套市政道路，解决小区出行问题。</t>
  </si>
  <si>
    <t>向海一路、创意南路( 裕华聚酯段) 和裕华路北段部分建设工程</t>
  </si>
  <si>
    <t>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t>
  </si>
  <si>
    <t xml:space="preserve">完善华发裕华聚酯旧改房地产项目周边交通路网。
</t>
  </si>
  <si>
    <t>珠海高新区情侣北路东段新建雨水渠及病害修复工程</t>
  </si>
  <si>
    <t>情侣北路东段新建雨水渠、管道病害修复，完善雨水收集设施及闸门等配套设施。</t>
  </si>
  <si>
    <t>珠高发投〔2023〕49号</t>
  </si>
  <si>
    <t>1.本工程是收集和输送片区雨水至3号泵闸，强排雨水入海，提升片区排涝能力的关键。
2.本工程对病害管网进行开挖修复，是解决前环片区雨水系统的瓶颈、提升片区管网排水能力的关键。
3.本项目已申报国债，要求明年6月份前开工。</t>
  </si>
  <si>
    <t>珠海高新区东岸片区小学新建工程</t>
  </si>
  <si>
    <t>用地面积1.54万平方米，规划总建面2.75万平方米，其中地上建面2.35万平方米，地下建面0.4万平方米，拟建1所规模为36个教学班的标准化小学，提供学位1620个，建设内容主要包括教学楼、行政办公楼、报告厅、食堂、体育馆、运动场、人防地下室车库等。</t>
  </si>
  <si>
    <t>2024-2026</t>
  </si>
  <si>
    <t>缓解东岸、下村片区学位紧张问题。</t>
  </si>
  <si>
    <t>高新区智慧环保工程</t>
  </si>
  <si>
    <t>1.大气环境智慧在线监测：VOCs在线监测设备99套，恶臭异味在线监测设备12套，气象仪3台，走航监测车1辆等；
2.重点监控企业废水在线监测：集成式水质在线监测站7套；
3.AI视频项目:在辖区域内黑烟、扬尘、河涌及排放口等污染防控点位布置AI识别摄像头；
4.无人机配套采购服务；
5.一套智慧环保平台。</t>
  </si>
  <si>
    <t>本项目符合珠海智慧高新建设规划及“一网统管”建设要求，是落实国家、省、市生态文明建设和生态环境监测专项规划的需要，项目有助于提升涉VOCs重点监管企业及敏感点管理能力，实现涉水排放企业在线监测全覆盖，提升生态环境感知能力助力精准高效执法，推动生态环境治理数字化转型，实现和省、市生态环境数据的对接，形成区级生态环境领域“一网统管”管理能力。根据《珠海高新区数字政府改革建设2023年工作要点暨落实“实体经济为本，制造业当家”工作方案》（珠高数改领〔2023〕3号）工作部署，应加快推进高新区智慧环保工程。</t>
  </si>
  <si>
    <t>附件4</t>
  </si>
  <si>
    <t>高新区2024年政府投资项目计划（储备库）</t>
  </si>
  <si>
    <t>项目建议书完成时间</t>
  </si>
  <si>
    <t>可行性研究报告完成时间</t>
  </si>
  <si>
    <t>概算完成时间</t>
  </si>
  <si>
    <t>预算完成时间</t>
  </si>
  <si>
    <t>施工招标时间</t>
  </si>
  <si>
    <t>合计80（20）</t>
  </si>
  <si>
    <t>珠海市高新区中珠渠及中珠副渠防洪排涝综合提升工程</t>
  </si>
  <si>
    <t>项目位于中珠渠珠海段，起于竹林埔桥，终点至金星门出海口。建设内容包括水环境综合整治、河道清淤、护岸修复、截污工程、水闸、环境提升工程、桥梁工程等。总长度约9.15公里。</t>
  </si>
  <si>
    <t>2023-2026</t>
  </si>
  <si>
    <t>前期</t>
  </si>
  <si>
    <t>高新区水环境综合整治2.0项目（第二批）</t>
  </si>
  <si>
    <t>高新区水环境综合整治2.0项目（第二批）建设内容包括正本清源和排洪渠工程。其中，正本清源工程包括上下北村、下栅下村、罗村、幸村、外沙村、上栅村等旧村的雨污分流和山水入流整治工程。排洪渠工程包括谭井排渠改建工程和佛迳排洪渠改建工程。谭井排渠改建工程，设计起于西部沿海高速，终至佳能排洪渠，设计长度约1.1km，防洪标准为100年一遇；佛迳排洪渠改建工程，设计起于西部沿海高速，终至中珠排洪渠，设计长度约1.03km，防洪标准为100年一遇。</t>
  </si>
  <si>
    <t>珠海高新区金星路及科技一路（东段）管网改造工程</t>
  </si>
  <si>
    <t>工程包含金星路及科技一路两条道路，金星路为次干道，长约1555.05米，道路宽36米，科技一路为城市支路长约877.48m，道路宽18米。
工程建设内容包括新建D1400~D1800污水管约1793m、D600~B×H=2.6×1.0m雨水管渠约670m及金星路、科技一路道路升级改造。</t>
  </si>
  <si>
    <t>高新区前环片区3号排涝泵闸新建工程</t>
  </si>
  <si>
    <t>主要建设内容包括排水工程、电气工程、水工结构等，具体建设内容及规模如下：
1）设置水闸1座，1孔，单宽8.0m，总净宽8m，闸底板顶高程-0.70m，顶高程5.5m，设计流量36.55m3/s。
2）新建排涝泵站1座，设计流量25m3/s。
3）泵闸上游排洪渠衔接段、下游箱涵衔接段及泵站厂区道路、绿化景观工程、管线迁改工程等。</t>
  </si>
  <si>
    <t>珠海市高新区防灾减灾指挥通信和应急处置能力提升项目</t>
  </si>
  <si>
    <t>该项目符合《广东省应急管理“十四五”规划》，项目主要提升区域应急救援能力，建设内容包括储备应急物资约2万件，采购2辆应急通讯指挥车、2台无人机、5辆特种专业技术用车、1套高扬程便携式潜水泵、1台排涝机器人，建设室内外两用天通卫星应急通信系统各1套、空地一体应急指挥调度系统3套等。</t>
  </si>
  <si>
    <t>珠海市高新区220kV永丰站配套市政电缆隧道新建工程（二期）</t>
  </si>
  <si>
    <t>本项目二期路由暂定为港湾大道、金凤路、金唐东路、前湾二路、情侣北路。
工程总体建设内容包括新建 220kV 四回路电力隧道约 9.2km，采用单舱形式，断面尺寸B×H=2.80m×2.60m；新建 110kV 六回路电缆沟，约 14.8km，断面尺寸 B×H=2.06m×2.68m；新建110kV 四回路电缆沟约 5.7km，断面尺寸 B×H=1.86×1.78m。</t>
  </si>
  <si>
    <t>珠海市高新区湾区智造AI产业创新中心片区配套市政基础设施新建工程（二期）</t>
  </si>
  <si>
    <t>本项目位于高新区金唐西路以北、金峰路以南，本期需新建2条市政道路以及两处地块场平，道路设计总长约1.521km，其中主干路约1.038km，支路约0.483km；地块场平面积约为50800㎡；110kV架空线缆迁改约1450m。</t>
  </si>
  <si>
    <t>珠海市高新区唐家古镇公共停车场停车场及2#泵站新建工程</t>
  </si>
  <si>
    <t>本项目位于现状唐家中学，建设内容为利用现状操场新建地下停车场和泵站，包括地上及地下两部分，总建筑面积约11771.26㎡；其中，地上2层合建综合楼建筑面积约586.50㎡，为泵站配套管理用房与停车场配套设施用房；地下两层总建筑面积约11184.76㎡，为泵站主体（762.00㎡）、调蓄池（3299.32㎡）与停车场主体（7123.44㎡，约200个车位）</t>
  </si>
  <si>
    <t>珠海高新区那洲布匹城配套市政基础设施新建工程</t>
  </si>
  <si>
    <t>本工程位于珠海市高新区那洲，包括四条市政道路及配套基础设施：外环街北段（金唐西路~那西三街），道路长度约800m；那西一街（外环街北段~那洲西路），道路长度约370m；那西二街（外环街北段~那洲西路），道路长度约190m；那洲西路（金唐西路~那西二街），道路长度约520m；修建排洪渠1条，长度约870m。建设内容包括：道路工程、给水工程、雨水工程、污水工程、预留沟工程、电缆沟工程、通信管沟工程、桥涵工程、照明工程、景观工程、交通设施、安监设施等。</t>
  </si>
  <si>
    <t>珠海高新区金鼎山人居环境整治项目</t>
  </si>
  <si>
    <t>项目范围约38.25万㎡，建设内容主要包括：山体截洪沟约3800m、排洪渠约88m、边坡治理约7000㎡、过路箱涵2座及项目范围内的基础设施及配套建设等。</t>
  </si>
  <si>
    <t>珠海市高新区人民医院北围院区配套市政基础设施新建工程</t>
  </si>
  <si>
    <t>珠海市高新区人民医院北围院区配套市政基础设施新建工程，本工程位于京珠高速公路（港湾大道）东侧，新湾八路西侧，人民医院北围院区南、北侧。主要包括两条市政道路及配套基础设施：鼎兴路（港湾大道～新湾八路段）、新沙六路（港湾大道～新湾八路段），道路总长度约450m。建设内容包括：道路工程、桥涵工程、管线工程、照明工程、交通工程、安监工程、海绵城市、景观工程等。</t>
  </si>
  <si>
    <t>珠海市高新区凤凰山防火通道电力配套项目</t>
  </si>
  <si>
    <t>杨寮水库泵房，位于杨寮水库旁，用电容量需125KVA。大坑水库泵房，位于大坑水库旁，用电容量需50KVA，两个配套泵房因为周边没有电力设施，且远超出低压供电半径范围，为满足两个配套泵房的用电需采用高压10KV供电电力设施。</t>
  </si>
  <si>
    <t>高新区下栅检查站公交首末站新建工程</t>
  </si>
  <si>
    <t>项目位于金鼎片区京珠高速西、金沙路北侧，用地面积约4400㎡，主要建设内容包括综合楼一栋及室外配套公交停车场，综合楼建筑面积约300㎡，包括土建工程、电气工程、给排水工程、高低压配电工程、充电桩工程及室外配套工程等。</t>
  </si>
  <si>
    <t>高新区中山公园公交首末站新建工程</t>
  </si>
  <si>
    <t>项目位于高新区后环片区留诗路东南侧，用地面积约5096㎡，主要建设内容包括综合楼一栋及室外配套公交停车场，综合楼建筑面积约350㎡，包括土建工程、电气工程、给排水工程、高低压配电工程、充电桩工程及室外配套工程等。</t>
  </si>
  <si>
    <t>高新区石坑山隧道工程</t>
  </si>
  <si>
    <t>项目起点为港湾大道与唐淇路交汇处西侧，终点为情侣北路与前岛环交汇处东侧，全长约4.6公里，双向4车道。</t>
  </si>
  <si>
    <t>高新区水环境综合整治2.0项目（第三批）</t>
  </si>
  <si>
    <t>项目位于高新区，包括旧村雨污分流改造、山水截流工程、排洪渠整治工程、新建污水泵站、山塘调蓄等。</t>
  </si>
  <si>
    <t>珠海市高新区金园三路西侧保障性租赁住房新建工程</t>
  </si>
  <si>
    <t>项目位于高新区金园三路西侧西侧、金瑞二路北侧，项目用地面积14826.06平方米，总建筑面积60311.20㎡，计容建筑面积44478.18平方米。拟建设一级邻里中心及保障性租赁住房。</t>
  </si>
  <si>
    <t>项目暂缓推进</t>
  </si>
  <si>
    <t>高新区金鼎片区生物医药产业园配套基础设施新建工程（二期）</t>
  </si>
  <si>
    <t>珠海市高新区金鼎片区生物医药产业园配套基础设施新建工程（二期）位于珠海市唐家湾金鼎片区，本次建设内容包含金峰路等共8条市政道路，道路总长约3.7km</t>
  </si>
  <si>
    <t>珠海高新区再生资源及垃圾综合利用设施工程</t>
  </si>
  <si>
    <t>拟建设位置位于珠海高新区金鼎片区二线公路西侧、竹林埔村东侧。建设内容为新建再生资源利用中心项目,包含大件垃圾拆解中心(大件垃圾拆解、处理)、可回收物分拣中心、有害垃圾转运中心、园林垃圾处理中心,项目用地面积约为 15000 平方米,建设日分拣能力为420.5 吨/天。建设内容为新建垃圾转运站及环卫停车场,转运规模为 210 吨/天,项目用地总面积约为 5495 平方米。</t>
  </si>
  <si>
    <t>珠海市高新区滞泄洪周边区域生态改造续建工程</t>
  </si>
  <si>
    <t>本项目位于高新区留思山东南侧，项目面积约15.8公顷，建设内容主要包括：盐碱地改良、边坡处理、绿地修复、检修通道、管网系统、配套构筑物及其它设施等。其建设内容及投资额以区发改财政局立项批复为准。</t>
  </si>
  <si>
    <t>珠海市高新区东岸留思山周边配套市政道路新建工程</t>
  </si>
  <si>
    <t>本项目位于高新区东岸留思山片区周边，包括创意中路、创意南路、向海十一路，道路总长度约2.2千米。建设内容包括：道路工程、给排水工程、电力通信工程、照明工程、交通工程、安监工程、海绵城市、绿化工程等。</t>
  </si>
  <si>
    <t>新增</t>
  </si>
  <si>
    <t>珠海市高新区前环片区前岛环路北段（山海路至情侣路北路段）及其周边配套市政道路新建工程</t>
  </si>
  <si>
    <t>本工程建设范围含市政道路3条（前岛环路、山海路、基地连接线），道路全长约1.1km，其中前岛环路长约493米，规划断面宽度24米，为次干路；山海路长约392米，规划断面宽度18米，为支路；基地连接线长约218米，设计断面宽度为12米，为支路。本项目含道路工程、交通工程、给排水工程、电气工程、景观工程等建设内容。</t>
  </si>
  <si>
    <t>受油库搬迁影响，未明确实施方案。</t>
  </si>
  <si>
    <t>东岸社区西侧配套市政道路工程</t>
  </si>
  <si>
    <t>道路起于金园路，终于现状软件园，道路总体呈南北走向，设计总长度约781.129m，宽24m。</t>
  </si>
  <si>
    <t>暂缓</t>
  </si>
  <si>
    <t>珠海市高新区工业园区交通组织优化提升基础设施项目(二期)</t>
  </si>
  <si>
    <t>本工程位于珠海市高新区金鼎片区和科创海岸片区范围内，位于中珠渠南路南侧、创新八路西侧，建设内容为新建地面公交场站及新建地下社会停车场，用地面积约4000㎡</t>
  </si>
  <si>
    <t>珠海市高新区甲背坑排洪渠新建工程</t>
  </si>
  <si>
    <t>珠海高新区甲背坑排洪渠新建工程，设计渠道起点为西部沿海高速现状箱涵，穿过阳春铺村、已建金环路及官村，最终汇入中珠副渠，渠道尺寸6~10×3.0m，长度约2.1km。</t>
  </si>
  <si>
    <t>珠海市高新区滞泄洪周边区域生态改造工程</t>
  </si>
  <si>
    <t>本项目位于高新区留思山东南侧，项目面积约 10.3 公顷。建设内容主要包括：盐碱地改良、边坡处理、绿地修复、检修通道、管网系统、配套构筑物及其它设施等以立项批复为准。</t>
  </si>
  <si>
    <t>京珠高速金鼎派出所（地块8）项目</t>
  </si>
  <si>
    <t>项目用地面积8500.59平方米，建筑面积9178.64平方米，其中：综合业务楼共6层，地上5层，建筑面积为5239.74平方米；地下1层，建筑面积3938.9平方米。</t>
  </si>
  <si>
    <t>珠海高新区金星排洪渠改造工程</t>
  </si>
  <si>
    <t>金星排洪渠珠海侧岸墙进行改造修复。</t>
  </si>
  <si>
    <t>金发工业园侧公园绿地</t>
  </si>
  <si>
    <t>本项目设计范围北侧紧邻港湾大道，东侧接金琴立交，西侧与金发工业园东北侧市政路相接，工程设计总面积约6.86万平方米，为防护绿地。主要包括入口及休憩广场、小品构筑物、园路、停车场及整体景观提升等内容。</t>
  </si>
  <si>
    <t>科技一路污水管网改造工程</t>
  </si>
  <si>
    <t>创新一路交科技一路以北部分采用顶管敷设一条D1800污水管，全长约410米；创新一路交科技一路路口涉铁段采用顶管敷设一条DN1800污水管，全长约100米；创新一路交科技一路以南顶管敷设一条D1800污水管，全长约480米。</t>
  </si>
  <si>
    <t>2024-2024</t>
  </si>
  <si>
    <t>珠海高新区纳水北环路及那东三路道路新建工程</t>
  </si>
  <si>
    <t>本工程位于珠海市高新区那洲社区，共包含2条市政道路。纳水北环路：道路等级为城市次干路，规划道路红线宽24米，双向4车道，西起那洲东路，东至澳科大西路（暂定），道路设计总长为466.711m。那东三路：道路等级为城市支路，规划道路红线宽18米，双向2车道，北起澳科大西路（暂定），南至纳水北环路，道路设计总长为137.870m。主要工程内容：道路工程、给水工程、污水工程、雨水工程、照明工程、绿化景观工程、交通设施、缆线管廊工程等，并预留燃气管位。</t>
  </si>
  <si>
    <t>珠海高新区星辰路及金园路新建工程</t>
  </si>
  <si>
    <t>本工程选址位于珠海高新区下栅社区下村，包含星辰路和金园路两条城市次干路的待建区段。星辰路长约510米，从港湾大道延伸至金园路，道路宽度24米，现状已建成约150米；金园路长约1200米，从金凤路延伸至哈工大路，道路宽度24米，现状已建成约650米；星辰路和金园路的待建区段共计约 910米，均穿越了下村大批民房，涉及民房征拆面较广。</t>
  </si>
  <si>
    <t>珠海高新区金园路（拱星三巷至金琴快线段）配套道路改造工程</t>
  </si>
  <si>
    <t>本工程位于珠海市唐家湾官塘片区，西至拱星三巷，东接金凤路。</t>
  </si>
  <si>
    <t>珠海高新区歧关路（金沙段）改造工程</t>
  </si>
  <si>
    <t>道路改造提升约1.5公里，主要工程内容为道路白加黑，增设非机动车道等。</t>
  </si>
  <si>
    <t>珠海高新区金恒二路及金恒三路道路新建工程</t>
  </si>
  <si>
    <t>本工程位于珠海市位于高新区唐家湾金鼎片区，建设内容包含2条支路。分别为：金恒二路设计长度206.454m，道路规划等级为城市支路，双向2车道，道路红线宽18m，设计车速为30Km/h；金恒三路设计长度540.172m，道路规划等级为城市支路，双向2车道，道路红线宽15m，设计车速为30Km/h。工程内容主要包括：道路工程、污水工程、雨水工程、给水工程、电缆沟工程、通信管沟工程、照明工程、海绵城市、交通工程、安监工程、燃气预留及绿化工程。</t>
  </si>
  <si>
    <t>完成预算后先暂停。</t>
  </si>
  <si>
    <t>高新区金鼎工业园华冠路等4条市政道路提升工程</t>
  </si>
  <si>
    <t>工程位于珠海高新区金鼎工业园内，其中金业一路为现状支路，道路宽15米，提升设计总长度约332m；金恒一路（金鸿六路-华冠路）为现状支路，道路宽18米，提升设计总长度约771m；金鸿三路为现状支路，道路宽18米，提升设计总长度约408m；华冠路为现状支路，道路宽15米，提升设计总长度约1,032m，主要建设内容包括道路病害处理、道路面层提升、路沿石更换调整、慢行系统翻新、井盖翻新抬升、标志线恢复等。</t>
  </si>
  <si>
    <t>项目已完成全部前期工作，根据《专题研究重点项目和政府投资项目会议纪要》（珠高专题会纪〔2023〕29号），项目暂缓实施。</t>
  </si>
  <si>
    <t>拱星街建设工程</t>
  </si>
  <si>
    <t>拱星街建设工程位于珠海市高新区官塘片区。拱星街建设工程为城市支路，南起金园路，北至官塘路。规划红线宽度12m，建设长度约 650m。建设内容包括：道路工程、管线工程、照明工程、景观工程、交通工程、安监工程，并按要求进行海绵城市设计等。</t>
  </si>
  <si>
    <t>唐站环路（南段）市政道路新建工程</t>
  </si>
  <si>
    <t>项目起点接唐站南路，终点与唐站前路平交，设计全长约320m。道路等级为城市支路，规划道路红线宽度18m，双向两车道布置，设计速度为30km/h。项目主要建设内容包括：道路工程、给排水工程、电力通信工程、交通、安监、照明工程和绿化景观工程等。同时唐站南路以及唐站环路（中段）沥青罩面等提升改造内容纳入本项目统筹实施，设计长度约497m。</t>
  </si>
  <si>
    <t>港湾大道（裕华聚酯段）人行天桥工程</t>
  </si>
  <si>
    <t>本项目拟建设人行天桥一座，横跨港湾大道，连接裕华聚酯与港湾一号地块，兼顾市政人行过街与商业联通功能。天桥主桥全长约95米，桥面净宽4米，桥下净空5米。工程内容包含桥梁工程、电气照明工程、管线迁改工程等。</t>
  </si>
  <si>
    <t>暂未收到代建任务。</t>
  </si>
  <si>
    <t>金园一路等3条市政道路提升工程</t>
  </si>
  <si>
    <t>工程位于珠海高新区金鼎工业园内，其中金园一路为现状支路，道路宽18米，提升设计总长度约635米；金瑞二路为现状支路，道路宽18米，提升设计总长度约1213米；金园二路（麒麟啤酒公司段）为现状次干路，道路宽24米，提升设计总长度约272m，主要建设内容包括道路病害处理、道路面层提升、路沿石更换调整、慢行系统翻新、井盖翻新抬升、标志线恢复等。</t>
  </si>
  <si>
    <t>珠海高新区金鼎1#垃圾转运站及环卫停车场新建项目</t>
  </si>
  <si>
    <t>建设内容为新建垃圾转运站及环卫停车场,转运规模为 210 吨/天,项目用地总面积约为 5495 平方米。</t>
  </si>
  <si>
    <t>珠海高新区鸡山村联络通道新建工程</t>
  </si>
  <si>
    <t>本次设计范围为珠海市高新区山村联络通道新建工程，设计总长度212.897m，道路等级为城市支路。设计内容包括：道路工程、桥梁工程、给排水工程、电力通讯工程、照明工程、海绵城市、交通工程、安监工程、道路绿化景观工程。</t>
  </si>
  <si>
    <t>高速公路超限监测站（卸货场）工程</t>
  </si>
  <si>
    <t>用地面积约3000平方米，拟建建筑面积400平方米高速公路超限监测站（卸货场）。</t>
  </si>
  <si>
    <t>官塘路内公交换乘站工程</t>
  </si>
  <si>
    <t>本项目位于港湾大道两侧，新建两座公交换乘枢纽站，总用地面积约7433.23㎡，建筑面积约3656.95㎡，新增公交泊位16个。</t>
  </si>
  <si>
    <t>珠海高新区金鼎山东片区周边配套市政基础设施新建工程</t>
  </si>
  <si>
    <t>本项目位于珠海市唐家湾金鼎东片区。本期实施范围共包含5条市政道路，道路总设计长度为1.8km。包括金府路、金园路、规划一横路、规划环路、金官路。项目建设内容包含：道路工程、给水工程、污水工程、雨水工程、照明工程、绿化景观工程、海绵城市、交通设施、桥涵工程、缆线管廊工程等，并预留燃气管位。</t>
  </si>
  <si>
    <t>珠海市高新区慢行立体过街设施新建工程</t>
  </si>
  <si>
    <t>项目主要建设内容包括：在香山路增设立体过街设施5处、平面过街设施1处，调整平面过街设施1处,取消平面过街设施2处(感应式信号过街设施9处)，在港湾大道增设立体过街设施4处、新增信号过街设施1处，调整平面过街设放海4处（感应式信号过街设施4处)</t>
  </si>
  <si>
    <t>珠海高新区红花山森林公园入口提升工程</t>
  </si>
  <si>
    <t>工程涉及景观工程、绿化工程、结构工程、建筑工程、给排水工程、电气工程等。建设内容主要包括景观铺装，土方工程，党建LOGO等其他小品及配套设施；绿化提升；排洪渠加盖停车；停车楼1座等给排水、照明以及安监配套设施。</t>
  </si>
  <si>
    <t>珠海高新区排水户污水管网全覆盖达标攻坚工程</t>
  </si>
  <si>
    <t>本工程位于高新区，主要建设内容为对室外合流系统进行分流改造以及现状排水设施的清淤、病害治理；建筑外墙新建一套排水立管或末端增设溢流设施。</t>
  </si>
  <si>
    <t>珠海高新区排水户污水管网全覆盖达标攻坚工程（第一批）</t>
  </si>
  <si>
    <t>本工程位于高新区，主要建设内容为5个机关事业单位排水管网新改扩建及病害修复等。</t>
  </si>
  <si>
    <t>2023年度珠海市高新区城镇老旧小区改造提升工程（第一批）</t>
  </si>
  <si>
    <t>唐家商业广场、唐家裕华小区、港湾中心、正圆花园、邮政宿舍、供销社大楼（高新）、唐家食品楼、华盛豪苑、广海楼、畔海花园、唐家军休所、金泰园、警备区部队家属二号院、税所宿舍、财所宿舍、海军大院等16个老旧小区。改造内容：雨污分流、消防改造、供水改造、“三线”整治、智能管道改造。</t>
  </si>
  <si>
    <t>2023年度珠海市高新区城镇老旧小区改造提升工程（第二批）</t>
  </si>
  <si>
    <t>金景豪园、金晖苑、银泉阁、星光源、疗养院原单位宿舍楼。改造内容：雨污分流、消防改造、供水改造、“三线”整治、智能管道改造。</t>
  </si>
  <si>
    <t>珠海裕华东侧公园项目(暂定名)</t>
  </si>
  <si>
    <t>占地面积约30000平方米，拟将原有公园进行拆除，并新建配套公园。</t>
  </si>
  <si>
    <t>珠海市高新区赤北街新建工程</t>
  </si>
  <si>
    <t>项目位于高新区那洲会同片区，为城市支路，西起会同北路，北至金唐西路。规划红线宽度18m，建设长度约650m。建设内容包括：道路工程、管线工程、照明工程、景观工程、交通工程、安监工程，海绵城市设计等。</t>
  </si>
  <si>
    <t>未放专项债</t>
  </si>
  <si>
    <t>珠海市高新区港湾新城周边配套市政基础设施新建工程</t>
  </si>
  <si>
    <t>项目位于高新区金鼎片区，主要建设内容包括三条市政道路及配套基础设施：金官路（金园路～金文路段）、规划环路（岐关路段）、金府路（金府路与金文路衔接段）。金官路（金园路～金文路段）为城市支路，南起金园路，北至金文路，规划红线宽度24m，建设长度约88m；规划环路（岐关路段）为城市支路，起终点与岐关路衔接，规划红线宽度14m，建设长度约342m；金府路（金府路与金文路衔接段）为城市次干路，南起已建金府路路，北至金文路，规划红线宽度34m，建设长度约10m.建设内容包括：道路工程、管线工程、照明工程、景观工程、交通工程、安监工程，海绵城市设计等。</t>
  </si>
  <si>
    <t>珠海市高新区金焕路新建工程</t>
  </si>
  <si>
    <t>项目位于高新区金鼎片区，为城市支路，西起金环路，东至金鸿七路。规划红线宽度18m，建设长度约360m。建设内容包括：道路工程、管线工程、照明工程、景观工程、交通工程、安监工程，海绵城市设计等。</t>
  </si>
  <si>
    <t>高新区金鼎工业污水处理厂</t>
  </si>
  <si>
    <t>待定</t>
  </si>
  <si>
    <t>新建一座工业污水处理厂，一期设计处理能力1.0万m³/d。</t>
  </si>
  <si>
    <t>广东省珠海市高新区后环片区产业园配套基础设施项目</t>
  </si>
  <si>
    <t>位于珠海市高新区后环片区，主要建设内容包括：新建产业用房总建筑面积约 62.88 万㎡，其中地上建筑面积约 48.22 万㎡，地下建筑面积约14.66 万㎡；新建停车场约 1.34 万㎡；新建或改造提升金恒二路、金恒三路、那东三路等 23 条园区道路约 19.69km；新建园区配套电缆隧道约 5.70km、电缆沟约 2.60km 等。</t>
  </si>
  <si>
    <t>大可研项目</t>
  </si>
  <si>
    <t>广东省珠海国家高新技术产业开发区高端医疗器械产业集聚区配套基础设施建设项目</t>
  </si>
  <si>
    <t>项目主要建设内容包括：计容面积约28.68万平方米的标准厂房；新建配套水质争化厂（8万t/d)；建设长度约7.8千米的园区配套道路等。</t>
  </si>
  <si>
    <t>广东省珠海市高新区“数字高新、智慧园区”基础设施建设项目</t>
  </si>
  <si>
    <t>主要建设内容包括:配套建设建筑面积约2.8万平方米的地下停车场、周边道路等。挖掘历史文化旅游资源，修缮唐家湾古镇 17处历史建筑，保护修复山房路、龙岗街等历史，街区风貌。打造会同历史文化街区文旅走廊，建设包括国潮文化街区、旅游厕所等消费集聚区设施，总建筑面积约6.3万平方米。项目建成后将促进历史文化遗产保护与活化利用，提升文化旅游消费。</t>
  </si>
  <si>
    <t>广东省珠海国家高新技术产业开发区深珠融合发展示范区基础设施建设项目</t>
  </si>
  <si>
    <t>主要建设内容包括:新建计容面积约20.3万平方米的园区保障性租赁用房;配套建设站和调蓄池等；建设3处停车场等配套设施。</t>
  </si>
  <si>
    <t>广东省珠海国家高新技术产业开发区"创新海岸"标准厂房及配套基础设施建设项目</t>
  </si>
  <si>
    <t>新建园区标准厂房，厂房占地面积 5.17万平方米，建筑面积约20.7万平方米;配套建设周边社区停车场;更新改造园区老旧雨污管网;改建防洪排设施、加固河堤、新建站等。</t>
  </si>
  <si>
    <t>广东省珠海市高新区后环片区科技城园区基础设施项目</t>
  </si>
  <si>
    <t>位于珠海市高新区后环片区，主要建设内容包括：新建及改造道路约30km、隧道2.10km、排洪渠0.87km，配套建设道路排水、电力通信、交通、安监、照明工程等；新建220kV四回路电力隧道5.7km、110kV六回路电力隧道2.6km，管线迁改约3.24km，新建水库泵房电容量175kVA及配套线缆工程等。</t>
  </si>
  <si>
    <t>广东省珠海国家高新技术产业开发区集成电路设计创新中心配套设施建设项目</t>
  </si>
  <si>
    <t>主要建设内容包括建设保障性租赁用房约8.0万平方米;建设标准厂房约20 万平方米;普查、检测排水管网总长约112.9公里;修复雨污水管道约10.49公里;新建配套道路8条，约2.8公里;改造配套道路8条，约4.9公里。</t>
  </si>
  <si>
    <t>广东省珠海市国家高新技术产业开发区银坑半岛海洋工程装备产业园配套基础设施建设项目</t>
  </si>
  <si>
    <t>位于珠海国家高新技术产业开发区银坑片区银悦路以东，银海路以北，规划用地面积约139128.4m²，总建筑面积约52.5万m²，其中产业用房建筑面积约29.2万m²，研发用房建筑面积约4.2万m²，配套设施用房和功能用房8.3万m²，地下建筑约10.8万m²。主要建设内容为建设产业用房、研发用房、办公用房、宿舍、地下建筑、室外工程及周边配套道路等。</t>
  </si>
  <si>
    <t>广东省珠海国家高新技术产业开发区保障性安居工程建设项目</t>
  </si>
  <si>
    <t>主要新建保障性租赁住房工程6项，用地面积约9.9万平方米，建筑面积约33万平方米。建设内容包括保障性租赁用房及配套公 共服务设施、地下停车场、以及配套室外工程等。</t>
  </si>
  <si>
    <t>广东省珠海国家高新技术产业开发区半导体产业园水利基础设施建设项目</t>
  </si>
  <si>
    <t>主要建设内容包括:配套建设8万吨/日污水处理厂;室外排水工程约9km;以及配套建设园区道路等。</t>
  </si>
  <si>
    <t>广东省珠海市高新区 AI 产业创新园区（二期）基础设施配套建设项目</t>
  </si>
  <si>
    <t>位于珠海市高新区金鼎片区，金唐西路以北，岐关路以南，金鸿四路西侧，金洲二路东侧。总建筑面积约43.04万m²，其中地上建筑面积约35.28 万平方米，地下建筑面积约7.76 万m² ；计容建筑面积约 35.73万m²，包括研发厂房约9.82万m²，高标准厂房约14.53万m²，配套设施用房和功能用房约3.27万m² ，宿舍约8.11万m²，主要建设内容包括新建金品二路长约1.85km，完善AI产业创新园区（二期）配套广场、停车等基础设施。</t>
  </si>
  <si>
    <t>广东省珠江口西岸都市圈--珠海国家高新技术产业开发区前环产城融合基础设施建设项目</t>
  </si>
  <si>
    <t>主要建设内容包括新建产业载体用房 20万平方米，配套建设公共服务设施等;新建及整治排洪渠长4.97公里;新建截洪沟2公里，新建2座水闸、1处调蓄池，改建道路及雨雾分流管网，配套建设公共服务设施等。</t>
  </si>
  <si>
    <t>广东省珠海国家高新技术产业开发区光电信息技术产业园基础设施建设项目</t>
  </si>
  <si>
    <t>主要建设内容包括:新建计容建筑面积13.5万平方米的标准厂房;配套建设计容建筑面 积2.4万平方米的园区保障性租赁住房;配套建设园区管网等设施。</t>
  </si>
  <si>
    <t>广东省珠海市高新区防洪排涝基础设施综合提升工程</t>
  </si>
  <si>
    <t>位于珠海市高新区中珠渠两侧，项目主要建设内容包括：新建、改造排洪渠和截洪沟约25.44km,新建雨水管渠约2.3km,新建水闸泵站9座，对3座水库进行除险加固，以及雨水箱涵、排涝泵站、雨水调蓄池等配套工程的建设。</t>
  </si>
  <si>
    <t>广东省珠海市高新区城镇污水垃圾处理基础设施建设项目</t>
  </si>
  <si>
    <t>位于珠海市高新区金鼎片区，主要建设内容包括：新建污水厂1座（污水处理能力为8万t/d），新建再生资源及垃圾综合利用设施1座（日分拣能力为420.5t/d），新建垃圾转运站及环卫停车场1处（转运规模为210t/d），新建污水管0.99km，修复28个路段雨污水管道共计约8.2km，配套道路提升约7.096km。</t>
  </si>
  <si>
    <t>中国历史文化名镇——珠海唐家古镇文旅走廊消费集聚区基础设施建设项目</t>
  </si>
  <si>
    <t>广东省珠海市高新技术产业开发区教育公共服务均等化发展建设项目</t>
  </si>
  <si>
    <t>主要建设内容包括新建2所中学，建筑面积6.5万平米;新建2所小学，建筑面积 4.6万平米;新建2所幼托中心，建筑面积3万平米;改扩建小学和中学各1所。</t>
  </si>
  <si>
    <t>广东省珠海国家高新技术产业开发区新型基础设施建设示范项目</t>
  </si>
  <si>
    <t>项目建设内容主要为构建智慧视觉存算平台、城市信息管理 CI平台及实景三维数据底座、物联网平台，围绕教育、健 康、消防、民生、应急管理、疫情防控、水务、海防、5G 智能路灯、智慧停车等场景，实现智慧园区一网统管。项目建成后，形成 28 个充电桩站、2992个公共充电桩、2275 个智慧停车泊位、多杆 5G 智能路灯和多个公共智能应用平台，推动广东省珠海市高新区的城市治理精准度、民生服务可及性和产业经济发展质量不断提升，打造低碳、绿色、健康的宜业宜居环境。</t>
  </si>
  <si>
    <t>广东省珠海市高新区综合停车场及公共交通基础设施建设项目</t>
  </si>
  <si>
    <t>位于珠海市高新区唐家湾镇，本项目新建停车楼及配套用房建筑面积约4090.99㎡，新增停车位132个；新建公交换乘枢纽站两座，用地面积约7433.23㎡，建筑面积约3656.95㎡，新增公交泊位16个；新建地下停车场及配套用房等建筑面积约15486.67㎡，新增停车位180个；配套建设金府路、金园路、规划横一路和规划环路等4条道路总长约1.29km。</t>
  </si>
  <si>
    <t>广东省珠海市高新区北围幼托中心建设项目</t>
  </si>
  <si>
    <t>位于珠海市高新区北围片区，金峰北路西侧、金业北路北侧、科创纵三路东侧、兴中路南侧，规划用地面积 5431m²，主要建设规模为新建一所托幼中心，总建筑面积 10354m²，其中地上建筑面积为7300m²，地下建筑面积为3054 m²，建设内容包括:托育服务用房、托育从业人员培训用房、托育产品研发和标准设计用房、婴幼儿早期发展用房、监督管理用房和设备辅助用房、地下车库、室外工程等。</t>
  </si>
  <si>
    <t>唐家湾镇卫生院（二期）</t>
  </si>
  <si>
    <t>与省中医院珠海医院合作共建，建设有中医特色“小而精”的专科医院，将中医骨科、中西医结合科打造为市级重点专科，床位200张。</t>
  </si>
  <si>
    <t>2024年6月</t>
  </si>
  <si>
    <t>2024年8月</t>
  </si>
  <si>
    <t>2024年10月</t>
  </si>
  <si>
    <t>2025年3月</t>
  </si>
  <si>
    <t>项目用地未完成房改房征收。</t>
  </si>
  <si>
    <t>唐家中学新建工程</t>
  </si>
  <si>
    <t>建设内容主要包括教学楼、行政办公楼、报告厅、食堂、体育馆、运动场、人防地下室车库等。</t>
  </si>
  <si>
    <t>区疾控中心建设项目</t>
  </si>
  <si>
    <t>本项目用地位于港湾大道与哈工大交接处，用地面积约7180平方米，总建筑面积约9400平方米。</t>
  </si>
  <si>
    <t>2024年5月</t>
  </si>
  <si>
    <t>2024年7月</t>
  </si>
  <si>
    <t>2024年9月</t>
  </si>
  <si>
    <t>用地未落实，项目。</t>
  </si>
  <si>
    <t>大同幼儿园重建工程</t>
  </si>
  <si>
    <t>本项目属于80年代砖混结构，三层，面积约2000平方米，现计划将幼儿园拆除，并就地重建6班幼儿园，学位180个。</t>
  </si>
  <si>
    <t>珠海高新区金鼎仙人阁原址扩建工程</t>
  </si>
  <si>
    <t>对珠海高新区金鼎仙人阁进行原址扩建，项目用地面积约为9251.18平方米，建成规模为6万个阁位，层高为2-3层。</t>
  </si>
  <si>
    <t>东澳湾考古遗址公园</t>
  </si>
  <si>
    <t>对东澳湾沙丘遗址进行活化利用，进行考古挖掘、建设文物遗址展示陈列馆，将其改造为遗址公园</t>
  </si>
  <si>
    <t>北京理工大学珠海学院东门入口迁移工程</t>
  </si>
  <si>
    <t>本项目位于金琴快线西侧，北京理工大学珠海学院东门，项目面积约10134.3㎡。</t>
  </si>
  <si>
    <t>高新区中小学未来课堂建设项目</t>
  </si>
  <si>
    <t>响应国家“第十四个五年规划和2035年远景目标纲要”，建设高质量教育体系，积极推进我区信息技术与教育教学深度融合，探索面向未来的教学模式，计划全区15所公办中小学开展未来课堂建设项目，提高我校教学管理能力和教学质量，成为引领全市的样板区，为全国基础教育发展贡献样本与智慧。</t>
  </si>
  <si>
    <t>唐国安纪念馆改造提升项目</t>
  </si>
  <si>
    <t>占地面积5000平方米，建筑面积2700平方米。拟对一楼外广场、文旅服务中心、唐国安故居、接待室、序厅、临展厅、办公区、影像播放区等；二楼主题展览；三楼接待室、走廊、会议室、户外露台等进行提升改造。</t>
  </si>
  <si>
    <t>唐家古镇门楼建设</t>
  </si>
  <si>
    <t>在山房路与港湾大道交叉路口，修建唐家古镇门楼，树立国家级历史文化名镇的良好形象。门楼初步拟设计宽17.4米，高10.75米，将唐家湾历史建筑特色元素融入，拟选用荔枝面黄金麻石材，建造“唐家”独有的昭示性门楼。</t>
  </si>
  <si>
    <t>唐家古围墙保护</t>
  </si>
  <si>
    <t>高新发展</t>
  </si>
  <si>
    <t>对唐家古围墙进行修复和活化利用，</t>
  </si>
  <si>
    <t>珠海高新技术产业开发区婚姻登记处场所装修工程</t>
  </si>
  <si>
    <t>对望慈山房现状周边进行整改提升，对部分建筑及构筑物进行拆除清理，并在建筑周边设置婚嫁打卡点，打造高新区特色的婚姻登记处。</t>
  </si>
  <si>
    <t>全区景区打造提升项目</t>
  </si>
  <si>
    <t>根据国家旅游局《旅游景区质量等级的划分与评定》等文件，针对高新区内罗西尼、巧克力工坊、红花山4A景区、会同、淇澳岛等高新区内4A级景区进行改造提升。</t>
  </si>
  <si>
    <t>高新区全民健身中心</t>
  </si>
  <si>
    <t>1.金鼎文化广场西侧用地约2万平方米，建设一座区综合性健身中心和区级图书馆。
2.东岸留诗山地块约1万平方米，建设一座区全民健身分中心</t>
  </si>
  <si>
    <t>2024-2027</t>
  </si>
  <si>
    <t>高新区健身步道</t>
  </si>
  <si>
    <t>根据《中华人民共和国体育法》、《全民健身条例》以及《全民健身计划（2021—2025年）》等国家、省相关部门规划。
1.淇澳岛上设20km长步道，预计投资3亿元
2.石坑山上设10km长步道，预计投资2亿元</t>
  </si>
  <si>
    <t>高新区文博场馆和历史遗迹保护和改造提升项目</t>
  </si>
  <si>
    <t>对唐国安纪念馆等场馆提升改造，进一步维修、活化利用全区名人故居、文物，建设文博场馆。</t>
  </si>
  <si>
    <t>全区心理健康设施</t>
  </si>
  <si>
    <t>在国务院办公厅印发《“十四五”国民健康规划》中提出要不断完善心理健康和精神卫生服务。
在高新区内新建一所心理健康中心和18个社区、4所高校、17所中小学的心理健康服务站，合计建设规模2万平方米。</t>
  </si>
  <si>
    <t>高新区养老康复设施</t>
  </si>
  <si>
    <t>根据国家发展改革委等部门印发《养老托育服务业纾困扶持若干政策措施》、《关于促进养老托育服务健康发展的意见》以及民政部办公厅《关于做好“十四五”期间养老服务体系建设相关发展指标跟踪调度工作的通知》等部门规划，在高新区内新建一所区级养老医护转化中心和18个社区的养老医护转化站。合计建设规模约1万平方米。</t>
  </si>
  <si>
    <t>高新区托幼机构</t>
  </si>
  <si>
    <t>根据国家发展改革委等部门印发《养老托育服务业纾困扶持若干政策措施》、《关于促进养老托育服务健康发展的意见》等部门规划。在高新区内建立3所托幼机构，服务高新区产业人才和辖区居民。
1.唐家片区建立1所托幼机构，托位100个。
2.北围片区建立1所托幼机构，托位100个。
3.金鼎片区建立1所托幼机构，托位100个。</t>
  </si>
  <si>
    <t>会同养云山馆复建项目</t>
  </si>
  <si>
    <t>养云山馆位于会同村西侧村口，历史街区核心保护范围内，原先后作为会同小学、会同画家村之用。整体占地面积约6700㎡，总建筑面积约1700㎡，花园面积约2400㎡，山林面积约3200㎡。拟按照原有建筑尺度和体量进行复建，建筑面积约1700㎡，集文化、非遗展厅、戏台、林下休憩园、精品民宿等功能，建成后作为香山文化会客厅运营。</t>
  </si>
  <si>
    <t>高新区智慧视觉视频监控(二期)</t>
  </si>
  <si>
    <t>区党政办（政务数据局）</t>
  </si>
  <si>
    <t>建设内容包括针对重点公共区域、重点行业领域的重要部位以及其他重点区域的公共安全视频监控点位建设不足，存在公共区域视频覆盖盲区增加前端感知设备点位。完成视频管理存储的建设。建设城市视频专网，为前端感知设备、视频存储节点、数字高新提供高效、快捷、安全、稳定的信息传输通道，实现各单位视频监控网络对接。</t>
  </si>
  <si>
    <t>区级智慧视觉存算平台项目</t>
  </si>
  <si>
    <t>基于高新区视频平台，进行智慧视觉存算平台建设，底层使用基于国产自主研发芯片的TPU高性能算力服务器，打造统一的算力资源池。基于按需分配的资源，为各类应用提供AI计算能力及各种算法。</t>
  </si>
  <si>
    <t>高新区物联网统一管理平台</t>
  </si>
  <si>
    <t>搭建统一物联网管理平台，将各单位物联网设备、以及未来将建设的物联网设备进行统一接入，实现物联信息的有效汇聚和整合，支持物联数据交换与信息共享，为公安、消防、环保、公路、交通、综合执法、市监局、各产业园区等单位提供智慧化应用以及决策数据支撑。</t>
  </si>
  <si>
    <t>珠海高新区数字政府软件安全态势感知平台建设项目</t>
  </si>
  <si>
    <t>数字政府软件安全态势感知平台能实现软件安全检测和威胁预警，精准识别软件组件的安全性、代码及许可合规性，实时展示应用的代码安全状况和对第三方组件的安全管控，提供软件资产跟踪定位和管控、新漏洞的自检和预警，以及自研组件组件和程序代码的许可合规性进行检测。进一步提升软件安全可知、可见、可控的态势感知能力和基于工具、人、制度、流程全维度可闭环的安全运营能力。</t>
  </si>
  <si>
    <t>新建项目</t>
  </si>
  <si>
    <t>珠海市高新区金鼎东路（金环路-南路段）配套道路新建工程</t>
  </si>
  <si>
    <t>珠海市高新区湾区智造 AI 产业创新中心片区配套基础设施新建工程</t>
  </si>
  <si>
    <t>高新区前环3号排洪渠强排泵站工程</t>
  </si>
  <si>
    <t>珠海市高新区六组排洪渠（人民医院北围院区段）改造工程</t>
  </si>
  <si>
    <t>珠海裕华聚酯东侧公园项目(暂定名)</t>
  </si>
  <si>
    <t>400.00</t>
  </si>
  <si>
    <t>大同幼儿园加固改造工程</t>
  </si>
  <si>
    <t>1000.00</t>
  </si>
  <si>
    <t>大同幼儿园装修工程</t>
  </si>
  <si>
    <t>400</t>
  </si>
  <si>
    <t>1800</t>
  </si>
  <si>
    <t>600</t>
  </si>
  <si>
    <t>下栅公交站场新建工程</t>
  </si>
  <si>
    <t>中山公园公交站场新建工程</t>
  </si>
  <si>
    <t>珠海高新区南围片区幼儿园建设工程</t>
  </si>
  <si>
    <t>2,500.00 </t>
  </si>
  <si>
    <t>23,836.00 </t>
  </si>
  <si>
    <t>4,315.50 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</si>
</sst>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0.00_ "/>
    <numFmt numFmtId="180" formatCode="0.00_);[Red]\(0.00\)"/>
    <numFmt numFmtId="181" formatCode="yyyy&quot;年&quot;m&quot;月&quot;;@"/>
    <numFmt numFmtId="182" formatCode="#,##0_ "/>
    <numFmt numFmtId="183" formatCode="0_);[Red]\(0\)"/>
  </numFmts>
  <fonts count="80">
    <font>
      <sz val="11"/>
      <color indexed="8"/>
      <name val="宋体"/>
      <charset val="134"/>
    </font>
    <font>
      <sz val="12"/>
      <name val="宋体"/>
      <charset val="134"/>
    </font>
    <font>
      <b/>
      <sz val="12"/>
      <name val="宋体"/>
      <charset val="134"/>
    </font>
    <font>
      <sz val="11"/>
      <name val="宋体"/>
      <charset val="134"/>
    </font>
    <font>
      <sz val="11"/>
      <name val="宋体"/>
      <charset val="134"/>
      <scheme val="minor"/>
    </font>
    <font>
      <sz val="20"/>
      <name val="宋体"/>
      <charset val="134"/>
    </font>
    <font>
      <b/>
      <sz val="11"/>
      <name val="宋体"/>
      <charset val="134"/>
      <scheme val="minor"/>
    </font>
    <font>
      <sz val="20"/>
      <name val="Times New Roman"/>
      <charset val="0"/>
    </font>
    <font>
      <sz val="10"/>
      <name val="宋体"/>
      <charset val="134"/>
    </font>
    <font>
      <sz val="14"/>
      <name val="黑体"/>
      <charset val="134"/>
    </font>
    <font>
      <sz val="20"/>
      <name val="方正小标宋简体"/>
      <charset val="134"/>
    </font>
    <font>
      <sz val="9"/>
      <name val="宋体"/>
      <charset val="134"/>
    </font>
    <font>
      <b/>
      <sz val="10"/>
      <name val="宋体"/>
      <charset val="134"/>
    </font>
    <font>
      <sz val="11"/>
      <name val="Arial"/>
      <charset val="0"/>
    </font>
    <font>
      <b/>
      <sz val="12"/>
      <name val="宋体"/>
      <charset val="0"/>
    </font>
    <font>
      <b/>
      <sz val="11"/>
      <name val="仿宋_GB2312"/>
      <charset val="134"/>
    </font>
    <font>
      <sz val="10"/>
      <name val="仿宋_GB2312"/>
      <charset val="134"/>
    </font>
    <font>
      <sz val="11"/>
      <name val="宋体"/>
      <charset val="0"/>
      <scheme val="minor"/>
    </font>
    <font>
      <sz val="11"/>
      <color rgb="FF000000"/>
      <name val="宋体"/>
      <charset val="134"/>
      <scheme val="minor"/>
    </font>
    <font>
      <sz val="11"/>
      <color indexed="8"/>
      <name val="宋体"/>
      <charset val="134"/>
      <scheme val="minor"/>
    </font>
    <font>
      <sz val="10"/>
      <name val="宋体"/>
      <charset val="134"/>
      <scheme val="minor"/>
    </font>
    <font>
      <sz val="10"/>
      <name val="Times New Roman"/>
      <charset val="0"/>
    </font>
    <font>
      <sz val="11"/>
      <color rgb="FFFF0000"/>
      <name val="宋体"/>
      <charset val="134"/>
      <scheme val="minor"/>
    </font>
    <font>
      <b/>
      <sz val="20"/>
      <name val="宋体"/>
      <charset val="134"/>
    </font>
    <font>
      <sz val="6"/>
      <name val="宋体"/>
      <charset val="134"/>
      <scheme val="minor"/>
    </font>
    <font>
      <sz val="11"/>
      <color rgb="FF000000"/>
      <name val="宋体"/>
      <charset val="0"/>
      <scheme val="minor"/>
    </font>
    <font>
      <sz val="12"/>
      <name val="Times New Roman"/>
      <charset val="0"/>
    </font>
    <font>
      <sz val="9"/>
      <name val="Times New Roman"/>
      <charset val="0"/>
    </font>
    <font>
      <b/>
      <sz val="10"/>
      <name val="Arial"/>
      <charset val="0"/>
    </font>
    <font>
      <sz val="10"/>
      <name val="方正小标宋简体"/>
      <charset val="134"/>
    </font>
    <font>
      <b/>
      <sz val="9"/>
      <name val="Arial"/>
      <charset val="0"/>
    </font>
    <font>
      <b/>
      <sz val="9"/>
      <name val="宋体"/>
      <charset val="134"/>
    </font>
    <font>
      <b/>
      <sz val="12"/>
      <name val="宋体"/>
      <charset val="0"/>
      <scheme val="minor"/>
    </font>
    <font>
      <sz val="10"/>
      <name val="宋体"/>
      <charset val="0"/>
    </font>
    <font>
      <sz val="12"/>
      <name val="宋体"/>
      <charset val="134"/>
      <scheme val="minor"/>
    </font>
    <font>
      <sz val="10"/>
      <color indexed="8"/>
      <name val="宋体"/>
      <charset val="134"/>
      <scheme val="minor"/>
    </font>
    <font>
      <b/>
      <sz val="11"/>
      <name val="宋体"/>
      <charset val="0"/>
      <scheme val="minor"/>
    </font>
    <font>
      <b/>
      <sz val="11"/>
      <name val="宋体"/>
      <charset val="134"/>
    </font>
    <font>
      <sz val="6"/>
      <name val="宋体"/>
      <charset val="134"/>
    </font>
    <font>
      <sz val="10"/>
      <color rgb="FF000000"/>
      <name val="宋体"/>
      <charset val="134"/>
      <scheme val="minor"/>
    </font>
    <font>
      <b/>
      <sz val="6"/>
      <name val="宋体"/>
      <charset val="134"/>
    </font>
    <font>
      <sz val="11"/>
      <name val="Times New Roman"/>
      <charset val="0"/>
    </font>
    <font>
      <sz val="8"/>
      <name val="宋体"/>
      <charset val="134"/>
    </font>
    <font>
      <b/>
      <sz val="10"/>
      <name val="Times New Roman"/>
      <charset val="0"/>
    </font>
    <font>
      <sz val="10"/>
      <name val="Arial"/>
      <charset val="0"/>
    </font>
    <font>
      <b/>
      <sz val="10"/>
      <name val="宋体"/>
      <charset val="0"/>
      <scheme val="minor"/>
    </font>
    <font>
      <sz val="9"/>
      <name val="宋体"/>
      <charset val="0"/>
      <scheme val="minor"/>
    </font>
    <font>
      <sz val="11"/>
      <color theme="1"/>
      <name val="宋体"/>
      <charset val="134"/>
      <scheme val="minor"/>
    </font>
    <font>
      <strike/>
      <sz val="11"/>
      <color rgb="FF000000"/>
      <name val="宋体"/>
      <charset val="134"/>
      <scheme val="minor"/>
    </font>
    <font>
      <sz val="11"/>
      <name val="方正小标宋简体"/>
      <charset val="134"/>
    </font>
    <font>
      <sz val="10"/>
      <name val="宋体"/>
      <charset val="0"/>
      <scheme val="minor"/>
    </font>
    <font>
      <sz val="8"/>
      <name val="宋体"/>
      <charset val="134"/>
      <scheme val="minor"/>
    </font>
    <font>
      <sz val="11"/>
      <name val="宋体"/>
      <charset val="0"/>
    </font>
    <font>
      <sz val="10"/>
      <color theme="1"/>
      <name val="宋体"/>
      <charset val="0"/>
      <scheme val="minor"/>
    </font>
    <font>
      <sz val="10"/>
      <color theme="1"/>
      <name val="宋体"/>
      <charset val="134"/>
      <scheme val="minor"/>
    </font>
    <font>
      <sz val="11"/>
      <color rgb="FF000000"/>
      <name val="宋体"/>
      <charset val="134"/>
    </font>
    <font>
      <b/>
      <sz val="14"/>
      <name val="宋体"/>
      <charset val="134"/>
    </font>
    <font>
      <sz val="14"/>
      <color indexed="8"/>
      <name val="宋体"/>
      <charset val="134"/>
    </font>
    <font>
      <b/>
      <sz val="14"/>
      <color indexed="8"/>
      <name val="宋体"/>
      <charset val="134"/>
    </font>
    <font>
      <b/>
      <sz val="16"/>
      <color indexed="8"/>
      <name val="宋体"/>
      <charset val="134"/>
    </font>
    <font>
      <b/>
      <sz val="11"/>
      <color indexed="8"/>
      <name val="宋体"/>
      <charset val="134"/>
    </font>
    <font>
      <sz val="9"/>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9">
    <fill>
      <patternFill patternType="none"/>
    </fill>
    <fill>
      <patternFill patternType="gray125"/>
    </fill>
    <fill>
      <patternFill patternType="solid">
        <fgColor rgb="FFFFFF00"/>
        <bgColor indexed="64"/>
      </patternFill>
    </fill>
    <fill>
      <patternFill patternType="solid">
        <fgColor indexed="4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4" borderId="12"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3" applyNumberFormat="0" applyFill="0" applyAlignment="0" applyProtection="0">
      <alignment vertical="center"/>
    </xf>
    <xf numFmtId="0" fontId="68" fillId="0" borderId="13" applyNumberFormat="0" applyFill="0" applyAlignment="0" applyProtection="0">
      <alignment vertical="center"/>
    </xf>
    <xf numFmtId="0" fontId="69" fillId="0" borderId="14" applyNumberFormat="0" applyFill="0" applyAlignment="0" applyProtection="0">
      <alignment vertical="center"/>
    </xf>
    <xf numFmtId="0" fontId="69" fillId="0" borderId="0" applyNumberFormat="0" applyFill="0" applyBorder="0" applyAlignment="0" applyProtection="0">
      <alignment vertical="center"/>
    </xf>
    <xf numFmtId="0" fontId="70" fillId="5" borderId="15" applyNumberFormat="0" applyAlignment="0" applyProtection="0">
      <alignment vertical="center"/>
    </xf>
    <xf numFmtId="0" fontId="71" fillId="6" borderId="16" applyNumberFormat="0" applyAlignment="0" applyProtection="0">
      <alignment vertical="center"/>
    </xf>
    <xf numFmtId="0" fontId="72" fillId="6" borderId="15" applyNumberFormat="0" applyAlignment="0" applyProtection="0">
      <alignment vertical="center"/>
    </xf>
    <xf numFmtId="0" fontId="73" fillId="7" borderId="17" applyNumberFormat="0" applyAlignment="0" applyProtection="0">
      <alignment vertical="center"/>
    </xf>
    <xf numFmtId="0" fontId="74" fillId="0" borderId="18" applyNumberFormat="0" applyFill="0" applyAlignment="0" applyProtection="0">
      <alignment vertical="center"/>
    </xf>
    <xf numFmtId="0" fontId="75" fillId="0" borderId="19" applyNumberFormat="0" applyFill="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8" fillId="9" borderId="0" applyNumberFormat="0" applyBorder="0" applyAlignment="0" applyProtection="0">
      <alignment vertical="center"/>
    </xf>
    <xf numFmtId="0" fontId="78" fillId="7" borderId="0" applyNumberFormat="0" applyBorder="0" applyAlignment="0" applyProtection="0">
      <alignment vertical="center"/>
    </xf>
    <xf numFmtId="0" fontId="79" fillId="6" borderId="0" applyNumberFormat="0" applyBorder="0" applyAlignment="0" applyProtection="0">
      <alignment vertical="center"/>
    </xf>
    <xf numFmtId="0" fontId="79" fillId="15"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9" fillId="4" borderId="0" applyNumberFormat="0" applyBorder="0" applyAlignment="0" applyProtection="0">
      <alignment vertical="center"/>
    </xf>
    <xf numFmtId="0" fontId="79" fillId="5" borderId="0" applyNumberFormat="0" applyBorder="0" applyAlignment="0" applyProtection="0">
      <alignment vertical="center"/>
    </xf>
    <xf numFmtId="0" fontId="78" fillId="5" borderId="0" applyNumberFormat="0" applyBorder="0" applyAlignment="0" applyProtection="0">
      <alignment vertical="center"/>
    </xf>
    <xf numFmtId="0" fontId="78" fillId="11"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78" fillId="13" borderId="0" applyNumberFormat="0" applyBorder="0" applyAlignment="0" applyProtection="0">
      <alignment vertical="center"/>
    </xf>
    <xf numFmtId="0" fontId="78" fillId="18"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78" fillId="18"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cellStyleXfs>
  <cellXfs count="384">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1" xfId="0"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0" xfId="0" applyNumberFormat="1" applyFill="1" applyAlignment="1">
      <alignment horizontal="center" vertical="center"/>
    </xf>
    <xf numFmtId="178" fontId="0" fillId="0" borderId="0" xfId="0" applyNumberFormat="1" applyAlignment="1">
      <alignment horizontal="center" vertical="center"/>
    </xf>
    <xf numFmtId="10" fontId="0" fillId="0" borderId="0" xfId="3" applyNumberFormat="1" applyFill="1">
      <alignment vertical="center"/>
    </xf>
    <xf numFmtId="10" fontId="0" fillId="0" borderId="0" xfId="3" applyNumberFormat="1" applyFill="1" applyAlignment="1">
      <alignment horizontal="center" vertical="center"/>
    </xf>
    <xf numFmtId="0" fontId="1" fillId="0" borderId="0" xfId="49" applyFont="1" applyFill="1" applyBorder="1" applyAlignment="1"/>
    <xf numFmtId="0" fontId="2" fillId="0" borderId="0" xfId="49" applyFont="1" applyFill="1" applyBorder="1" applyAlignment="1">
      <alignment vertical="center" wrapText="1"/>
    </xf>
    <xf numFmtId="0" fontId="3" fillId="0" borderId="0" xfId="49"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49" applyFont="1" applyFill="1" applyBorder="1" applyAlignment="1">
      <alignment horizontal="center" vertical="center" wrapText="1"/>
    </xf>
    <xf numFmtId="0" fontId="4" fillId="0" borderId="0" xfId="49" applyFont="1" applyFill="1" applyBorder="1" applyAlignment="1"/>
    <xf numFmtId="49" fontId="7" fillId="0" borderId="0" xfId="49" applyNumberFormat="1" applyFont="1" applyFill="1" applyBorder="1" applyAlignment="1">
      <alignment horizontal="center" vertical="center" wrapText="1"/>
    </xf>
    <xf numFmtId="0" fontId="7" fillId="0" borderId="0" xfId="49" applyFont="1" applyFill="1" applyBorder="1" applyAlignment="1">
      <alignment horizontal="center" vertical="center" wrapText="1"/>
    </xf>
    <xf numFmtId="0" fontId="7" fillId="0" borderId="0" xfId="49" applyFont="1" applyFill="1" applyBorder="1" applyAlignment="1">
      <alignment horizontal="left" vertical="center" wrapText="1"/>
    </xf>
    <xf numFmtId="179" fontId="7" fillId="0" borderId="0" xfId="1" applyNumberFormat="1"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wrapText="1"/>
      <protection locked="0"/>
    </xf>
    <xf numFmtId="180" fontId="7" fillId="0" borderId="0" xfId="49" applyNumberFormat="1" applyFont="1" applyFill="1" applyBorder="1" applyAlignment="1">
      <alignment horizontal="center" vertical="center" wrapText="1"/>
    </xf>
    <xf numFmtId="0" fontId="5" fillId="0" borderId="0" xfId="49" applyFont="1" applyFill="1" applyBorder="1" applyAlignment="1">
      <alignment horizontal="center" vertical="center"/>
    </xf>
    <xf numFmtId="0" fontId="8" fillId="0" borderId="0" xfId="49" applyFont="1" applyFill="1" applyBorder="1" applyAlignment="1">
      <alignment horizontal="center" vertical="center" wrapText="1"/>
    </xf>
    <xf numFmtId="0" fontId="5" fillId="0" borderId="0" xfId="49" applyFont="1" applyFill="1" applyBorder="1" applyAlignment="1"/>
    <xf numFmtId="49" fontId="9" fillId="0" borderId="0" xfId="49" applyNumberFormat="1" applyFont="1" applyFill="1" applyBorder="1" applyAlignment="1">
      <alignment horizontal="left" vertical="center" wrapText="1"/>
    </xf>
    <xf numFmtId="49" fontId="10" fillId="0" borderId="0" xfId="49" applyNumberFormat="1" applyFont="1" applyFill="1" applyBorder="1" applyAlignment="1">
      <alignment horizontal="center" vertical="center" wrapText="1"/>
    </xf>
    <xf numFmtId="49" fontId="10" fillId="0" borderId="0" xfId="49" applyNumberFormat="1" applyFont="1" applyFill="1" applyBorder="1" applyAlignment="1">
      <alignment horizontal="left" vertical="center" wrapText="1"/>
    </xf>
    <xf numFmtId="179" fontId="10" fillId="0" borderId="0" xfId="49" applyNumberFormat="1" applyFont="1" applyFill="1" applyBorder="1" applyAlignment="1">
      <alignment horizontal="center" vertical="center" wrapText="1"/>
    </xf>
    <xf numFmtId="49" fontId="11" fillId="0" borderId="0" xfId="49" applyNumberFormat="1" applyFont="1" applyFill="1" applyBorder="1" applyAlignment="1">
      <alignment horizontal="center" vertical="center"/>
    </xf>
    <xf numFmtId="0" fontId="11" fillId="0" borderId="0" xfId="49" applyFont="1" applyFill="1" applyBorder="1" applyAlignment="1">
      <alignment horizontal="center" vertical="center"/>
    </xf>
    <xf numFmtId="0" fontId="11" fillId="0" borderId="0" xfId="49" applyFont="1" applyFill="1" applyBorder="1" applyAlignment="1">
      <alignment horizontal="left" vertical="center" wrapText="1"/>
    </xf>
    <xf numFmtId="179" fontId="11" fillId="0" borderId="0" xfId="1" applyNumberFormat="1" applyFont="1" applyFill="1" applyBorder="1" applyAlignment="1" applyProtection="1">
      <alignment horizontal="center" vertical="center"/>
    </xf>
    <xf numFmtId="0" fontId="11" fillId="0" borderId="0" xfId="49"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179" fontId="12" fillId="0" borderId="1" xfId="1" applyNumberFormat="1" applyFont="1" applyFill="1" applyBorder="1" applyAlignment="1" applyProtection="1">
      <alignment horizontal="center" vertical="center" wrapText="1"/>
    </xf>
    <xf numFmtId="49" fontId="13" fillId="0" borderId="1" xfId="49" applyNumberFormat="1" applyFont="1" applyFill="1" applyBorder="1" applyAlignment="1">
      <alignment horizontal="center" vertical="center" wrapText="1"/>
    </xf>
    <xf numFmtId="49" fontId="14" fillId="0" borderId="2" xfId="49" applyNumberFormat="1" applyFont="1" applyFill="1" applyBorder="1" applyAlignment="1">
      <alignment horizontal="center" vertical="center" wrapText="1"/>
    </xf>
    <xf numFmtId="49" fontId="14" fillId="0" borderId="3" xfId="49" applyNumberFormat="1" applyFont="1" applyFill="1" applyBorder="1" applyAlignment="1">
      <alignment horizontal="center" vertical="center" wrapText="1"/>
    </xf>
    <xf numFmtId="49" fontId="14" fillId="0" borderId="4" xfId="49" applyNumberFormat="1" applyFont="1" applyFill="1" applyBorder="1" applyAlignment="1">
      <alignment horizontal="center" vertical="center" wrapText="1"/>
    </xf>
    <xf numFmtId="179" fontId="15" fillId="0" borderId="1" xfId="50" applyNumberFormat="1"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7"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179" fontId="17"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18" fillId="0" borderId="1" xfId="51" applyFont="1" applyFill="1" applyBorder="1" applyAlignment="1">
      <alignment horizontal="left" vertical="center" wrapText="1"/>
    </xf>
    <xf numFmtId="179" fontId="18"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7" fillId="0" borderId="1" xfId="49"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1" xfId="49" applyFont="1" applyFill="1" applyBorder="1" applyAlignment="1">
      <alignment horizontal="left" vertical="center" wrapText="1"/>
    </xf>
    <xf numFmtId="0" fontId="18" fillId="0" borderId="5"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5" xfId="49" applyFont="1" applyFill="1" applyBorder="1" applyAlignment="1">
      <alignment horizontal="left" vertical="center" wrapText="1"/>
    </xf>
    <xf numFmtId="49" fontId="18" fillId="0" borderId="5" xfId="49" applyNumberFormat="1" applyFont="1" applyFill="1" applyBorder="1" applyAlignment="1">
      <alignment horizontal="center" vertical="center" wrapText="1"/>
    </xf>
    <xf numFmtId="0" fontId="18" fillId="0" borderId="5" xfId="0" applyNumberFormat="1"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49" fontId="4" fillId="0" borderId="5" xfId="49" applyNumberFormat="1" applyFont="1" applyFill="1" applyBorder="1" applyAlignment="1">
      <alignment horizontal="center" vertical="center" wrapText="1"/>
    </xf>
    <xf numFmtId="49" fontId="18" fillId="0" borderId="5" xfId="49" applyNumberFormat="1" applyFont="1" applyFill="1" applyBorder="1" applyAlignment="1">
      <alignment horizontal="left" vertical="center" wrapText="1"/>
    </xf>
    <xf numFmtId="179" fontId="19" fillId="0" borderId="1" xfId="0" applyNumberFormat="1" applyFont="1" applyFill="1" applyBorder="1" applyAlignment="1">
      <alignment horizontal="center" vertical="center" wrapText="1"/>
    </xf>
    <xf numFmtId="179" fontId="18" fillId="0" borderId="5" xfId="49" applyNumberFormat="1" applyFont="1" applyFill="1" applyBorder="1" applyAlignment="1">
      <alignment horizontal="center" vertical="center" wrapText="1"/>
    </xf>
    <xf numFmtId="0" fontId="18" fillId="0" borderId="5" xfId="49" applyFont="1" applyFill="1" applyBorder="1" applyAlignment="1">
      <alignment horizontal="left" vertical="center" wrapText="1"/>
    </xf>
    <xf numFmtId="0" fontId="18" fillId="0" borderId="0"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179" fontId="18" fillId="0" borderId="5" xfId="0" applyNumberFormat="1"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1" fillId="0" borderId="0" xfId="49" applyFont="1" applyFill="1" applyBorder="1" applyAlignment="1" applyProtection="1">
      <alignment horizontal="center" vertical="center"/>
      <protection locked="0"/>
    </xf>
    <xf numFmtId="180" fontId="11" fillId="0" borderId="0" xfId="49" applyNumberFormat="1" applyFont="1" applyFill="1" applyBorder="1" applyAlignment="1">
      <alignment horizontal="center" vertical="center"/>
    </xf>
    <xf numFmtId="180" fontId="11" fillId="0" borderId="0" xfId="49" applyNumberFormat="1" applyFont="1" applyFill="1" applyBorder="1" applyAlignment="1">
      <alignment horizontal="center" vertical="center" wrapText="1"/>
    </xf>
    <xf numFmtId="0" fontId="12" fillId="0" borderId="6" xfId="49" applyFont="1" applyFill="1" applyBorder="1" applyAlignment="1">
      <alignment horizontal="center" vertical="center" wrapText="1"/>
    </xf>
    <xf numFmtId="0" fontId="12" fillId="0" borderId="8" xfId="49" applyFont="1" applyFill="1" applyBorder="1" applyAlignment="1">
      <alignment horizontal="center" vertical="center" wrapText="1"/>
    </xf>
    <xf numFmtId="57" fontId="16" fillId="0" borderId="1" xfId="0" applyNumberFormat="1" applyFont="1" applyFill="1" applyBorder="1" applyAlignment="1">
      <alignment horizontal="center" vertical="center"/>
    </xf>
    <xf numFmtId="57" fontId="16" fillId="0" borderId="1" xfId="0" applyNumberFormat="1" applyFont="1" applyFill="1" applyBorder="1" applyAlignment="1">
      <alignment horizontal="center" vertical="center" wrapText="1"/>
    </xf>
    <xf numFmtId="0" fontId="16" fillId="0" borderId="1" xfId="49" applyFont="1" applyFill="1" applyBorder="1" applyAlignment="1"/>
    <xf numFmtId="57" fontId="4" fillId="0" borderId="1" xfId="49" applyNumberFormat="1" applyFont="1" applyFill="1" applyBorder="1" applyAlignment="1">
      <alignment horizontal="center" vertical="center" wrapText="1"/>
    </xf>
    <xf numFmtId="57" fontId="4" fillId="0" borderId="1" xfId="51" applyNumberFormat="1" applyFont="1" applyFill="1" applyBorder="1" applyAlignment="1">
      <alignment horizontal="center" vertical="center" wrapText="1"/>
    </xf>
    <xf numFmtId="0" fontId="20" fillId="0" borderId="0" xfId="49" applyFont="1" applyFill="1" applyBorder="1" applyAlignment="1">
      <alignment horizontal="center" vertical="center" wrapText="1"/>
    </xf>
    <xf numFmtId="57" fontId="18" fillId="0" borderId="1" xfId="51" applyNumberFormat="1" applyFont="1" applyFill="1" applyBorder="1" applyAlignment="1">
      <alignment horizontal="center" vertical="center" wrapText="1"/>
    </xf>
    <xf numFmtId="0" fontId="4" fillId="0" borderId="0" xfId="49"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wrapText="1"/>
    </xf>
    <xf numFmtId="179" fontId="18" fillId="0" borderId="1" xfId="49" applyNumberFormat="1" applyFont="1" applyFill="1" applyBorder="1" applyAlignment="1">
      <alignment horizontal="center" vertical="center" wrapText="1"/>
    </xf>
    <xf numFmtId="57" fontId="4" fillId="0" borderId="0" xfId="51" applyNumberFormat="1" applyFont="1" applyFill="1" applyBorder="1" applyAlignment="1">
      <alignment horizontal="center" vertical="center" wrapText="1"/>
    </xf>
    <xf numFmtId="0" fontId="20" fillId="0" borderId="1" xfId="49" applyFont="1" applyFill="1" applyBorder="1" applyAlignment="1">
      <alignment horizontal="center" vertical="center" wrapText="1"/>
    </xf>
    <xf numFmtId="57" fontId="18" fillId="0" borderId="1" xfId="49" applyNumberFormat="1" applyFont="1" applyFill="1" applyBorder="1" applyAlignment="1">
      <alignment horizontal="center" vertical="center" wrapText="1"/>
    </xf>
    <xf numFmtId="181" fontId="18" fillId="0" borderId="1" xfId="49" applyNumberFormat="1" applyFont="1" applyFill="1" applyBorder="1" applyAlignment="1">
      <alignment horizontal="center" vertical="center" wrapText="1"/>
    </xf>
    <xf numFmtId="57" fontId="4" fillId="0" borderId="5" xfId="51" applyNumberFormat="1" applyFont="1" applyFill="1" applyBorder="1" applyAlignment="1">
      <alignment horizontal="center" vertical="center" wrapText="1"/>
    </xf>
    <xf numFmtId="0" fontId="4" fillId="0" borderId="0" xfId="49" applyFont="1" applyFill="1" applyBorder="1" applyAlignment="1">
      <alignment vertical="center" wrapText="1"/>
    </xf>
    <xf numFmtId="57" fontId="18" fillId="0" borderId="5" xfId="0" applyNumberFormat="1" applyFont="1" applyFill="1" applyBorder="1" applyAlignment="1">
      <alignment horizontal="center" vertical="center" wrapText="1"/>
    </xf>
    <xf numFmtId="57" fontId="18" fillId="0" borderId="5" xfId="0" applyNumberFormat="1" applyFont="1" applyFill="1" applyBorder="1" applyAlignment="1">
      <alignment horizontal="center" vertical="center"/>
    </xf>
    <xf numFmtId="57" fontId="18" fillId="0" borderId="5" xfId="49" applyNumberFormat="1" applyFont="1" applyFill="1" applyBorder="1" applyAlignment="1">
      <alignment horizontal="center" vertical="center" wrapText="1"/>
    </xf>
    <xf numFmtId="57" fontId="18" fillId="0" borderId="5" xfId="49" applyNumberFormat="1" applyFont="1" applyFill="1" applyBorder="1" applyAlignment="1" applyProtection="1">
      <alignment horizontal="center" vertical="center" wrapText="1"/>
      <protection locked="0"/>
    </xf>
    <xf numFmtId="57" fontId="18" fillId="0" borderId="1" xfId="49" applyNumberFormat="1" applyFont="1" applyFill="1" applyBorder="1" applyAlignment="1" applyProtection="1">
      <alignment horizontal="center" vertical="center" wrapText="1"/>
      <protection locked="0"/>
    </xf>
    <xf numFmtId="0" fontId="21" fillId="0" borderId="0" xfId="49" applyFont="1" applyFill="1" applyBorder="1" applyAlignment="1">
      <alignment vertical="center" wrapText="1"/>
    </xf>
    <xf numFmtId="57" fontId="18" fillId="0" borderId="7"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57" fontId="18" fillId="0" borderId="6"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57" fontId="18" fillId="0" borderId="5" xfId="51"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0" xfId="49" applyFont="1" applyFill="1" applyBorder="1" applyAlignment="1">
      <alignment vertical="center" wrapText="1"/>
    </xf>
    <xf numFmtId="0" fontId="24" fillId="0" borderId="0" xfId="49" applyFont="1" applyFill="1" applyBorder="1" applyAlignment="1">
      <alignment horizontal="center" vertical="center" wrapText="1"/>
    </xf>
    <xf numFmtId="0" fontId="1" fillId="0" borderId="0" xfId="49" applyFont="1" applyFill="1" applyBorder="1" applyAlignment="1">
      <alignment horizontal="center" vertical="center"/>
    </xf>
    <xf numFmtId="0" fontId="23" fillId="0" borderId="0" xfId="0" applyFont="1" applyFill="1" applyBorder="1" applyAlignment="1">
      <alignment vertical="center"/>
    </xf>
    <xf numFmtId="49" fontId="17" fillId="0" borderId="5" xfId="49" applyNumberFormat="1" applyFont="1" applyFill="1" applyBorder="1" applyAlignment="1">
      <alignment horizontal="center" vertical="center" wrapText="1"/>
    </xf>
    <xf numFmtId="49" fontId="17" fillId="0" borderId="5" xfId="49" applyNumberFormat="1" applyFont="1" applyFill="1" applyBorder="1" applyAlignment="1">
      <alignment horizontal="left" vertical="center" wrapText="1"/>
    </xf>
    <xf numFmtId="49" fontId="25" fillId="0" borderId="5" xfId="49" applyNumberFormat="1" applyFont="1" applyFill="1" applyBorder="1" applyAlignment="1">
      <alignment horizontal="left" vertical="center" wrapText="1"/>
    </xf>
    <xf numFmtId="0" fontId="17" fillId="0" borderId="5" xfId="49" applyFont="1" applyFill="1" applyBorder="1" applyAlignment="1">
      <alignment horizontal="center" vertical="center" wrapText="1"/>
    </xf>
    <xf numFmtId="0" fontId="17" fillId="0" borderId="5" xfId="49" applyFont="1" applyFill="1" applyBorder="1" applyAlignment="1">
      <alignment horizontal="left" vertical="center" wrapText="1"/>
    </xf>
    <xf numFmtId="17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0" fontId="22" fillId="0" borderId="5" xfId="0" applyFont="1" applyFill="1" applyBorder="1" applyAlignment="1">
      <alignment horizontal="center" vertical="center"/>
    </xf>
    <xf numFmtId="49" fontId="17" fillId="0" borderId="1" xfId="49" applyNumberFormat="1" applyFont="1" applyFill="1" applyBorder="1" applyAlignment="1">
      <alignment horizontal="center" vertical="center" wrapText="1"/>
    </xf>
    <xf numFmtId="49" fontId="17" fillId="0" borderId="1" xfId="49" applyNumberFormat="1" applyFont="1" applyFill="1" applyBorder="1" applyAlignment="1">
      <alignment horizontal="center" vertical="center"/>
    </xf>
    <xf numFmtId="0" fontId="18" fillId="0" borderId="0" xfId="0" applyNumberFormat="1" applyFont="1" applyFill="1" applyBorder="1" applyAlignment="1">
      <alignment vertical="center" wrapText="1"/>
    </xf>
    <xf numFmtId="0" fontId="20" fillId="0" borderId="0" xfId="49" applyFont="1" applyFill="1" applyBorder="1" applyAlignment="1"/>
    <xf numFmtId="0" fontId="1" fillId="0" borderId="0" xfId="49" applyFont="1" applyFill="1" applyAlignment="1"/>
    <xf numFmtId="0" fontId="4" fillId="0" borderId="0" xfId="49" applyFont="1" applyFill="1" applyAlignment="1"/>
    <xf numFmtId="49" fontId="26" fillId="0" borderId="0" xfId="49" applyNumberFormat="1" applyFont="1" applyFill="1" applyBorder="1" applyAlignment="1">
      <alignment horizontal="center" vertical="center" wrapText="1"/>
    </xf>
    <xf numFmtId="0" fontId="21" fillId="0" borderId="0" xfId="49" applyFont="1" applyFill="1" applyBorder="1" applyAlignment="1">
      <alignment horizontal="center" vertical="center" wrapText="1"/>
    </xf>
    <xf numFmtId="0" fontId="26" fillId="0" borderId="0" xfId="49" applyFont="1" applyFill="1" applyBorder="1" applyAlignment="1">
      <alignment horizontal="center" vertical="center" wrapText="1"/>
    </xf>
    <xf numFmtId="0" fontId="27" fillId="0" borderId="0" xfId="49" applyFont="1" applyFill="1" applyBorder="1" applyAlignment="1">
      <alignment horizontal="left" vertical="center" wrapText="1"/>
    </xf>
    <xf numFmtId="179" fontId="27" fillId="0" borderId="0" xfId="49" applyNumberFormat="1" applyFont="1" applyFill="1" applyBorder="1" applyAlignment="1">
      <alignment horizontal="right" vertical="center" wrapText="1"/>
    </xf>
    <xf numFmtId="0" fontId="27" fillId="0" borderId="0" xfId="49" applyFont="1" applyFill="1" applyBorder="1" applyAlignment="1">
      <alignment horizontal="center" vertical="center" wrapText="1"/>
    </xf>
    <xf numFmtId="179" fontId="26" fillId="0" borderId="0" xfId="49" applyNumberFormat="1" applyFont="1" applyFill="1" applyBorder="1" applyAlignment="1">
      <alignment horizontal="right" vertical="center" wrapText="1"/>
    </xf>
    <xf numFmtId="179" fontId="21" fillId="0" borderId="0" xfId="49" applyNumberFormat="1" applyFont="1" applyFill="1" applyBorder="1" applyAlignment="1">
      <alignment vertical="center" wrapText="1"/>
    </xf>
    <xf numFmtId="0" fontId="1" fillId="0" borderId="0" xfId="49" applyFont="1" applyFill="1" applyBorder="1" applyAlignment="1">
      <alignment horizontal="center" vertical="center" wrapText="1"/>
    </xf>
    <xf numFmtId="49" fontId="9" fillId="0" borderId="0" xfId="49" applyNumberFormat="1" applyFont="1" applyFill="1" applyBorder="1" applyAlignment="1">
      <alignment horizontal="center" vertical="center" wrapText="1"/>
    </xf>
    <xf numFmtId="179" fontId="10" fillId="0" borderId="0" xfId="49" applyNumberFormat="1" applyFont="1" applyFill="1" applyBorder="1" applyAlignment="1">
      <alignment horizontal="right" vertical="center" wrapText="1"/>
    </xf>
    <xf numFmtId="49" fontId="8" fillId="0" borderId="0" xfId="49" applyNumberFormat="1" applyFont="1" applyFill="1" applyBorder="1" applyAlignment="1">
      <alignment vertical="center"/>
    </xf>
    <xf numFmtId="0" fontId="21" fillId="0" borderId="0" xfId="49" applyFont="1" applyFill="1" applyBorder="1" applyAlignment="1">
      <alignment horizontal="center" vertical="center"/>
    </xf>
    <xf numFmtId="0" fontId="26" fillId="0" borderId="0" xfId="49" applyFont="1" applyFill="1" applyBorder="1" applyAlignment="1">
      <alignment horizontal="center" vertical="center"/>
    </xf>
    <xf numFmtId="0" fontId="26" fillId="0" borderId="0" xfId="49" applyFont="1" applyFill="1" applyBorder="1" applyAlignment="1">
      <alignment horizontal="left" vertical="center" wrapText="1"/>
    </xf>
    <xf numFmtId="179" fontId="26" fillId="0" borderId="0" xfId="49" applyNumberFormat="1" applyFont="1" applyFill="1" applyBorder="1" applyAlignment="1">
      <alignment horizontal="right" vertical="center"/>
    </xf>
    <xf numFmtId="179" fontId="12" fillId="0" borderId="1" xfId="49" applyNumberFormat="1" applyFont="1" applyFill="1" applyBorder="1" applyAlignment="1">
      <alignment horizontal="center" vertical="center" wrapText="1"/>
    </xf>
    <xf numFmtId="179" fontId="12" fillId="0" borderId="6" xfId="49" applyNumberFormat="1" applyFont="1" applyFill="1" applyBorder="1" applyAlignment="1">
      <alignment horizontal="center" vertical="center" wrapText="1"/>
    </xf>
    <xf numFmtId="49" fontId="28" fillId="0" borderId="1" xfId="49" applyNumberFormat="1" applyFont="1" applyFill="1" applyBorder="1" applyAlignment="1">
      <alignment horizontal="center" vertical="center" wrapText="1"/>
    </xf>
    <xf numFmtId="0" fontId="28" fillId="0" borderId="1" xfId="49" applyFont="1" applyFill="1" applyBorder="1" applyAlignment="1">
      <alignment horizontal="center" vertical="center" wrapText="1"/>
    </xf>
    <xf numFmtId="179" fontId="28" fillId="0" borderId="1" xfId="49" applyNumberFormat="1" applyFont="1" applyFill="1" applyBorder="1" applyAlignment="1">
      <alignment horizontal="center" vertical="center" wrapText="1"/>
    </xf>
    <xf numFmtId="179" fontId="12" fillId="0" borderId="8"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wrapText="1"/>
    </xf>
    <xf numFmtId="179" fontId="6" fillId="0" borderId="1" xfId="49" applyNumberFormat="1" applyFont="1" applyFill="1" applyBorder="1" applyAlignment="1">
      <alignment horizontal="right" vertical="center" wrapText="1"/>
    </xf>
    <xf numFmtId="181" fontId="1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79" fontId="4" fillId="0" borderId="1" xfId="50" applyNumberFormat="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179" fontId="4" fillId="0" borderId="1" xfId="51" applyNumberFormat="1" applyFont="1" applyFill="1" applyBorder="1" applyAlignment="1" applyProtection="1">
      <alignment horizontal="center" vertical="center" wrapText="1"/>
    </xf>
    <xf numFmtId="179" fontId="29" fillId="0" borderId="0" xfId="49" applyNumberFormat="1" applyFont="1" applyFill="1" applyBorder="1" applyAlignment="1">
      <alignment horizontal="center" vertical="center" wrapText="1"/>
    </xf>
    <xf numFmtId="179" fontId="11" fillId="0" borderId="0" xfId="49" applyNumberFormat="1" applyFont="1" applyFill="1" applyBorder="1" applyAlignment="1">
      <alignment horizontal="right" vertical="center"/>
    </xf>
    <xf numFmtId="179" fontId="27" fillId="0" borderId="0" xfId="49" applyNumberFormat="1" applyFont="1" applyFill="1" applyBorder="1" applyAlignment="1">
      <alignment horizontal="right" vertical="center"/>
    </xf>
    <xf numFmtId="179" fontId="8" fillId="0" borderId="0" xfId="49" applyNumberFormat="1" applyFont="1" applyFill="1" applyBorder="1" applyAlignment="1">
      <alignment horizontal="right" vertical="center"/>
    </xf>
    <xf numFmtId="179" fontId="8" fillId="0" borderId="0" xfId="49" applyNumberFormat="1" applyFont="1" applyFill="1" applyBorder="1" applyAlignment="1">
      <alignment vertical="center"/>
    </xf>
    <xf numFmtId="179" fontId="30" fillId="0" borderId="1" xfId="49" applyNumberFormat="1" applyFont="1" applyFill="1" applyBorder="1" applyAlignment="1">
      <alignment horizontal="center" vertical="center" wrapText="1"/>
    </xf>
    <xf numFmtId="179" fontId="31" fillId="0" borderId="1"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179" fontId="17" fillId="0" borderId="1" xfId="49" applyNumberFormat="1" applyFont="1" applyFill="1" applyBorder="1" applyAlignment="1">
      <alignment vertical="center" wrapText="1"/>
    </xf>
    <xf numFmtId="179" fontId="21" fillId="0" borderId="1" xfId="49" applyNumberFormat="1" applyFont="1" applyFill="1" applyBorder="1" applyAlignment="1">
      <alignment vertical="center" wrapText="1"/>
    </xf>
    <xf numFmtId="49" fontId="29" fillId="0" borderId="0" xfId="49" applyNumberFormat="1" applyFont="1" applyFill="1" applyBorder="1" applyAlignment="1">
      <alignment horizontal="center" vertical="center" wrapText="1"/>
    </xf>
    <xf numFmtId="0" fontId="8" fillId="0" borderId="0" xfId="49" applyFont="1" applyFill="1" applyBorder="1" applyAlignment="1">
      <alignment vertical="center"/>
    </xf>
    <xf numFmtId="0" fontId="8" fillId="0" borderId="0" xfId="49" applyFont="1" applyFill="1" applyBorder="1" applyAlignment="1">
      <alignment horizontal="center" vertical="center"/>
    </xf>
    <xf numFmtId="0" fontId="2" fillId="0" borderId="0" xfId="49" applyFont="1" applyFill="1" applyBorder="1" applyAlignment="1">
      <alignment horizontal="center" vertical="center" wrapText="1"/>
    </xf>
    <xf numFmtId="176" fontId="6"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179" fontId="32" fillId="0" borderId="0"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3" fillId="0" borderId="1" xfId="49" applyFont="1" applyFill="1" applyBorder="1" applyAlignment="1">
      <alignment horizontal="center" vertical="center" wrapText="1"/>
    </xf>
    <xf numFmtId="0" fontId="33" fillId="0" borderId="1"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17" fillId="0" borderId="1" xfId="49" applyFont="1" applyFill="1" applyBorder="1" applyAlignment="1">
      <alignment horizontal="left" vertical="center" wrapText="1"/>
    </xf>
    <xf numFmtId="0" fontId="34" fillId="0" borderId="0" xfId="49" applyFont="1" applyFill="1" applyBorder="1" applyAlignment="1">
      <alignment horizontal="center" vertical="center" wrapText="1"/>
    </xf>
    <xf numFmtId="0" fontId="21" fillId="0" borderId="1" xfId="49" applyFont="1" applyFill="1" applyBorder="1" applyAlignment="1">
      <alignment horizontal="center" vertical="center" wrapText="1"/>
    </xf>
    <xf numFmtId="0" fontId="21" fillId="0" borderId="1" xfId="49" applyFont="1" applyFill="1" applyBorder="1" applyAlignment="1">
      <alignment horizontal="left" vertical="center" wrapText="1"/>
    </xf>
    <xf numFmtId="0" fontId="20" fillId="0" borderId="0" xfId="49" applyFont="1" applyFill="1" applyBorder="1" applyAlignment="1">
      <alignment horizontal="center" vertical="center"/>
    </xf>
    <xf numFmtId="0" fontId="35" fillId="0" borderId="0" xfId="0" applyFont="1" applyFill="1" applyBorder="1" applyAlignment="1">
      <alignment vertical="center"/>
    </xf>
    <xf numFmtId="179" fontId="21" fillId="0" borderId="0" xfId="49" applyNumberFormat="1"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179" fontId="36" fillId="0" borderId="1" xfId="49" applyNumberFormat="1" applyFont="1" applyFill="1" applyBorder="1" applyAlignment="1">
      <alignment horizontal="center" vertical="center" wrapText="1"/>
    </xf>
    <xf numFmtId="0" fontId="27" fillId="0" borderId="1" xfId="49"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4" fillId="0" borderId="1" xfId="49" applyFont="1" applyFill="1" applyBorder="1" applyAlignment="1" applyProtection="1">
      <alignment horizontal="left" vertical="center" wrapText="1"/>
    </xf>
    <xf numFmtId="179" fontId="4" fillId="0" borderId="1" xfId="49" applyNumberFormat="1" applyFont="1" applyFill="1" applyBorder="1" applyAlignment="1" applyProtection="1">
      <alignment horizontal="center" vertical="center" wrapText="1"/>
    </xf>
    <xf numFmtId="179" fontId="8" fillId="0" borderId="0" xfId="49" applyNumberFormat="1" applyFont="1" applyFill="1" applyBorder="1" applyAlignment="1">
      <alignment horizontal="center" vertical="center"/>
    </xf>
    <xf numFmtId="0" fontId="37" fillId="0" borderId="0" xfId="49" applyFont="1" applyFill="1" applyBorder="1" applyAlignment="1">
      <alignment vertical="center" wrapText="1"/>
    </xf>
    <xf numFmtId="179" fontId="21" fillId="0" borderId="1" xfId="49" applyNumberFormat="1" applyFont="1" applyFill="1" applyBorder="1" applyAlignment="1">
      <alignment horizontal="center" vertical="center" wrapText="1"/>
    </xf>
    <xf numFmtId="182" fontId="4"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xf>
    <xf numFmtId="0" fontId="38" fillId="0" borderId="0" xfId="49" applyFont="1" applyFill="1" applyBorder="1" applyAlignment="1"/>
    <xf numFmtId="0" fontId="38" fillId="0" borderId="0" xfId="49" applyFont="1" applyFill="1" applyBorder="1" applyAlignment="1">
      <alignment horizontal="center" vertical="center" wrapText="1"/>
    </xf>
    <xf numFmtId="179" fontId="33" fillId="0" borderId="1" xfId="49" applyNumberFormat="1" applyFont="1" applyFill="1" applyBorder="1" applyAlignment="1">
      <alignment horizontal="center" vertical="center" wrapText="1"/>
    </xf>
    <xf numFmtId="179" fontId="39" fillId="0" borderId="1" xfId="49" applyNumberFormat="1" applyFont="1" applyFill="1" applyBorder="1" applyAlignment="1">
      <alignment horizontal="center" vertical="center" wrapText="1"/>
    </xf>
    <xf numFmtId="0" fontId="24" fillId="0" borderId="0" xfId="49" applyFont="1" applyFill="1" applyBorder="1" applyAlignment="1"/>
    <xf numFmtId="0" fontId="40" fillId="0" borderId="0" xfId="49" applyFont="1" applyFill="1" applyBorder="1" applyAlignment="1">
      <alignment horizontal="center" vertical="center" wrapText="1"/>
    </xf>
    <xf numFmtId="0" fontId="20" fillId="0" borderId="0" xfId="0" applyFont="1" applyFill="1" applyBorder="1" applyAlignment="1">
      <alignment vertical="center"/>
    </xf>
    <xf numFmtId="0" fontId="8" fillId="0" borderId="0" xfId="49" applyFont="1" applyFill="1" applyBorder="1" applyAlignment="1">
      <alignment vertical="center" wrapText="1"/>
    </xf>
    <xf numFmtId="0" fontId="19" fillId="0" borderId="0" xfId="0" applyFont="1" applyFill="1" applyBorder="1" applyAlignment="1">
      <alignment vertical="center"/>
    </xf>
    <xf numFmtId="0" fontId="0" fillId="0" borderId="0" xfId="0" applyFont="1" applyFill="1" applyBorder="1" applyAlignment="1">
      <alignment vertical="center"/>
    </xf>
    <xf numFmtId="176" fontId="27" fillId="0" borderId="0" xfId="49" applyNumberFormat="1" applyFont="1" applyFill="1" applyBorder="1" applyAlignment="1">
      <alignment horizontal="center" vertical="center" wrapText="1"/>
    </xf>
    <xf numFmtId="176" fontId="27" fillId="0" borderId="0" xfId="49" applyNumberFormat="1" applyFont="1" applyFill="1" applyBorder="1" applyAlignment="1">
      <alignment horizontal="right" vertical="center" wrapText="1"/>
    </xf>
    <xf numFmtId="176" fontId="26" fillId="0" borderId="0" xfId="49" applyNumberFormat="1" applyFont="1" applyFill="1" applyBorder="1" applyAlignment="1">
      <alignment horizontal="center" vertical="center" wrapText="1"/>
    </xf>
    <xf numFmtId="176" fontId="26" fillId="0" borderId="0" xfId="49" applyNumberFormat="1" applyFont="1" applyFill="1" applyBorder="1" applyAlignment="1">
      <alignment horizontal="right" vertical="center" wrapText="1"/>
    </xf>
    <xf numFmtId="179" fontId="41" fillId="0" borderId="0" xfId="49" applyNumberFormat="1" applyFont="1" applyFill="1" applyBorder="1" applyAlignment="1">
      <alignment horizontal="center" vertical="center" wrapText="1"/>
    </xf>
    <xf numFmtId="0" fontId="41" fillId="0" borderId="0" xfId="49" applyFont="1" applyFill="1" applyBorder="1" applyAlignment="1">
      <alignment vertical="center" wrapText="1"/>
    </xf>
    <xf numFmtId="0" fontId="41" fillId="0" borderId="0" xfId="49" applyFont="1" applyFill="1" applyBorder="1" applyAlignment="1">
      <alignment horizontal="center" vertical="center" wrapText="1"/>
    </xf>
    <xf numFmtId="0" fontId="42" fillId="0" borderId="0" xfId="49" applyFont="1" applyFill="1" applyBorder="1" applyAlignment="1">
      <alignment horizontal="center" vertical="center" wrapText="1"/>
    </xf>
    <xf numFmtId="176" fontId="10" fillId="0" borderId="0" xfId="49" applyNumberFormat="1" applyFont="1" applyFill="1" applyBorder="1" applyAlignment="1">
      <alignment horizontal="center" vertical="center" wrapText="1"/>
    </xf>
    <xf numFmtId="0" fontId="26" fillId="0" borderId="0" xfId="49" applyFont="1" applyFill="1" applyBorder="1" applyAlignment="1">
      <alignment horizontal="left" vertical="center"/>
    </xf>
    <xf numFmtId="176" fontId="26" fillId="0" borderId="0" xfId="49" applyNumberFormat="1" applyFont="1" applyFill="1" applyBorder="1" applyAlignment="1">
      <alignment horizontal="center" vertical="center"/>
    </xf>
    <xf numFmtId="176" fontId="12" fillId="0" borderId="1" xfId="49" applyNumberFormat="1" applyFont="1" applyFill="1" applyBorder="1" applyAlignment="1">
      <alignment horizontal="center" vertical="center" wrapText="1"/>
    </xf>
    <xf numFmtId="49" fontId="43" fillId="0" borderId="1" xfId="49" applyNumberFormat="1" applyFont="1" applyFill="1" applyBorder="1" applyAlignment="1">
      <alignment horizontal="center" vertical="center" wrapText="1"/>
    </xf>
    <xf numFmtId="177" fontId="44" fillId="0" borderId="1" xfId="49" applyNumberFormat="1" applyFont="1" applyFill="1" applyBorder="1" applyAlignment="1">
      <alignment horizontal="center" vertical="center" wrapText="1"/>
    </xf>
    <xf numFmtId="49" fontId="14" fillId="0" borderId="4" xfId="49" applyNumberFormat="1" applyFont="1" applyFill="1" applyBorder="1" applyAlignment="1">
      <alignment horizontal="left" vertical="center" wrapText="1"/>
    </xf>
    <xf numFmtId="179" fontId="45" fillId="0" borderId="1" xfId="49" applyNumberFormat="1" applyFont="1" applyFill="1" applyBorder="1" applyAlignment="1">
      <alignment horizontal="center" vertical="center" wrapText="1"/>
    </xf>
    <xf numFmtId="0" fontId="46" fillId="0" borderId="1" xfId="49" applyFont="1" applyFill="1" applyBorder="1" applyAlignment="1">
      <alignment horizontal="center" vertical="center" wrapText="1"/>
    </xf>
    <xf numFmtId="49" fontId="47" fillId="0" borderId="1" xfId="49" applyNumberFormat="1" applyFont="1" applyFill="1" applyBorder="1" applyAlignment="1" applyProtection="1">
      <alignment horizontal="center" vertical="center" wrapText="1"/>
    </xf>
    <xf numFmtId="179" fontId="47"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48" fillId="0" borderId="1" xfId="0" applyNumberFormat="1" applyFont="1" applyFill="1" applyBorder="1" applyAlignment="1">
      <alignment horizontal="center" vertical="center" wrapText="1"/>
    </xf>
    <xf numFmtId="0" fontId="4" fillId="0" borderId="1" xfId="58" applyNumberFormat="1" applyFont="1" applyFill="1" applyBorder="1" applyAlignment="1">
      <alignment horizontal="left" vertical="center" wrapText="1"/>
    </xf>
    <xf numFmtId="177"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6" fontId="10" fillId="0" borderId="0" xfId="49" applyNumberFormat="1" applyFont="1" applyFill="1" applyBorder="1" applyAlignment="1">
      <alignment horizontal="right" vertical="center" wrapText="1"/>
    </xf>
    <xf numFmtId="179" fontId="49" fillId="0" borderId="0" xfId="49" applyNumberFormat="1" applyFont="1" applyFill="1" applyBorder="1" applyAlignment="1">
      <alignment horizontal="center" vertical="center" wrapText="1"/>
    </xf>
    <xf numFmtId="176" fontId="11" fillId="0" borderId="0" xfId="49" applyNumberFormat="1" applyFont="1" applyFill="1" applyBorder="1" applyAlignment="1">
      <alignment horizontal="right" vertical="center"/>
    </xf>
    <xf numFmtId="176" fontId="27" fillId="0" borderId="9" xfId="49" applyNumberFormat="1" applyFont="1" applyFill="1" applyBorder="1" applyAlignment="1">
      <alignment horizontal="right" vertical="center"/>
    </xf>
    <xf numFmtId="176" fontId="26" fillId="0" borderId="0" xfId="49" applyNumberFormat="1" applyFont="1" applyFill="1" applyBorder="1" applyAlignment="1">
      <alignment horizontal="right" vertical="center"/>
    </xf>
    <xf numFmtId="176" fontId="16" fillId="0" borderId="0" xfId="49" applyNumberFormat="1" applyFont="1" applyFill="1" applyBorder="1" applyAlignment="1">
      <alignment horizontal="center" vertical="center" wrapText="1"/>
    </xf>
    <xf numFmtId="176" fontId="27" fillId="0" borderId="0" xfId="49" applyNumberFormat="1" applyFont="1" applyFill="1" applyBorder="1" applyAlignment="1">
      <alignment horizontal="right" vertical="center"/>
    </xf>
    <xf numFmtId="179" fontId="3" fillId="0" borderId="0" xfId="49" applyNumberFormat="1" applyFont="1" applyFill="1" applyBorder="1" applyAlignment="1">
      <alignment horizontal="center" vertical="center"/>
    </xf>
    <xf numFmtId="179" fontId="20" fillId="0" borderId="1" xfId="49" applyNumberFormat="1" applyFont="1" applyFill="1" applyBorder="1" applyAlignment="1">
      <alignment horizontal="center" vertical="center" wrapText="1"/>
    </xf>
    <xf numFmtId="179" fontId="18" fillId="0" borderId="1" xfId="0" applyNumberFormat="1" applyFont="1" applyFill="1" applyBorder="1" applyAlignment="1">
      <alignment horizontal="left" vertical="center" wrapText="1"/>
    </xf>
    <xf numFmtId="179" fontId="18" fillId="0" borderId="1" xfId="0" applyNumberFormat="1" applyFont="1" applyFill="1" applyBorder="1" applyAlignment="1" applyProtection="1">
      <alignment horizontal="center" vertical="center" wrapText="1"/>
      <protection locked="0"/>
    </xf>
    <xf numFmtId="49" fontId="49" fillId="0" borderId="0" xfId="49" applyNumberFormat="1" applyFont="1" applyFill="1" applyBorder="1" applyAlignment="1">
      <alignment horizontal="center" vertical="center" wrapText="1"/>
    </xf>
    <xf numFmtId="0" fontId="3" fillId="0" borderId="0" xfId="49" applyFont="1" applyFill="1" applyBorder="1" applyAlignment="1">
      <alignment vertical="center"/>
    </xf>
    <xf numFmtId="0" fontId="3" fillId="0" borderId="0" xfId="49" applyFont="1" applyFill="1" applyBorder="1" applyAlignment="1">
      <alignment horizontal="center" vertical="center"/>
    </xf>
    <xf numFmtId="180" fontId="12" fillId="0" borderId="6" xfId="49" applyNumberFormat="1" applyFont="1" applyFill="1" applyBorder="1" applyAlignment="1">
      <alignment horizontal="center" vertical="center" wrapText="1"/>
    </xf>
    <xf numFmtId="180" fontId="12" fillId="0" borderId="8" xfId="49" applyNumberFormat="1" applyFont="1" applyFill="1" applyBorder="1" applyAlignment="1">
      <alignment horizontal="center" vertical="center" wrapText="1"/>
    </xf>
    <xf numFmtId="0" fontId="50" fillId="0" borderId="1" xfId="49" applyFont="1" applyFill="1" applyBorder="1" applyAlignment="1">
      <alignment vertical="center" wrapText="1"/>
    </xf>
    <xf numFmtId="0" fontId="50" fillId="0" borderId="1" xfId="49" applyFont="1" applyFill="1" applyBorder="1" applyAlignment="1">
      <alignment horizontal="center" vertical="center" wrapText="1"/>
    </xf>
    <xf numFmtId="0" fontId="20" fillId="0" borderId="1" xfId="49" applyFont="1" applyFill="1" applyBorder="1" applyAlignment="1">
      <alignment vertical="center" wrapText="1"/>
    </xf>
    <xf numFmtId="0" fontId="4" fillId="0" borderId="0" xfId="49" applyFont="1" applyFill="1" applyBorder="1" applyAlignment="1">
      <alignment horizontal="center" vertical="center"/>
    </xf>
    <xf numFmtId="0" fontId="19" fillId="0" borderId="0" xfId="0" applyFont="1" applyFill="1" applyBorder="1" applyAlignment="1">
      <alignment horizontal="center" vertical="center"/>
    </xf>
    <xf numFmtId="0" fontId="51" fillId="0" borderId="0" xfId="49" applyFont="1" applyFill="1" applyBorder="1" applyAlignment="1">
      <alignment horizontal="center" vertical="center" wrapText="1"/>
    </xf>
    <xf numFmtId="0" fontId="39" fillId="0" borderId="1" xfId="49" applyFont="1" applyFill="1" applyBorder="1" applyAlignment="1">
      <alignment vertical="center" wrapText="1"/>
    </xf>
    <xf numFmtId="0" fontId="39" fillId="0" borderId="1" xfId="49" applyFont="1" applyFill="1" applyBorder="1" applyAlignment="1">
      <alignment horizontal="center" vertical="center" wrapText="1"/>
    </xf>
    <xf numFmtId="0" fontId="4" fillId="0" borderId="1" xfId="49" applyFont="1" applyFill="1" applyBorder="1" applyAlignment="1">
      <alignment vertical="center" wrapText="1"/>
    </xf>
    <xf numFmtId="0" fontId="41" fillId="0" borderId="1" xfId="49" applyFont="1" applyFill="1" applyBorder="1" applyAlignment="1">
      <alignment vertical="center" wrapText="1"/>
    </xf>
    <xf numFmtId="0" fontId="52" fillId="0" borderId="1" xfId="49" applyFont="1" applyFill="1" applyBorder="1" applyAlignment="1">
      <alignment horizontal="center" vertical="center" wrapText="1"/>
    </xf>
    <xf numFmtId="0" fontId="41" fillId="0" borderId="1" xfId="49" applyFont="1" applyFill="1" applyBorder="1" applyAlignment="1">
      <alignment horizontal="center" vertical="center" wrapText="1"/>
    </xf>
    <xf numFmtId="176" fontId="39" fillId="0" borderId="1" xfId="0" applyNumberFormat="1" applyFont="1" applyFill="1" applyBorder="1" applyAlignment="1">
      <alignment horizontal="left" vertical="center" wrapText="1"/>
    </xf>
    <xf numFmtId="176" fontId="39" fillId="0" borderId="1" xfId="0" applyNumberFormat="1" applyFont="1" applyFill="1" applyBorder="1" applyAlignment="1">
      <alignment horizontal="center" vertical="center" wrapText="1"/>
    </xf>
    <xf numFmtId="0" fontId="39" fillId="0" borderId="1" xfId="0" applyNumberFormat="1" applyFont="1" applyFill="1" applyBorder="1" applyAlignment="1">
      <alignment vertical="center" wrapText="1"/>
    </xf>
    <xf numFmtId="0" fontId="39" fillId="0"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7" applyNumberFormat="1" applyFont="1" applyFill="1" applyBorder="1" applyAlignment="1">
      <alignment horizontal="center" vertical="center" wrapText="1"/>
    </xf>
    <xf numFmtId="179" fontId="4" fillId="0" borderId="1" xfId="56" applyNumberFormat="1" applyFont="1" applyFill="1" applyBorder="1" applyAlignment="1">
      <alignment horizontal="center" vertical="center" wrapText="1"/>
    </xf>
    <xf numFmtId="49" fontId="47" fillId="0" borderId="1" xfId="0" applyNumberFormat="1" applyFont="1" applyFill="1" applyBorder="1" applyAlignment="1" applyProtection="1">
      <alignment horizontal="left" vertical="center" wrapText="1"/>
      <protection locked="0"/>
    </xf>
    <xf numFmtId="2" fontId="47" fillId="0" borderId="1" xfId="0" applyNumberFormat="1" applyFont="1" applyFill="1" applyBorder="1" applyAlignment="1">
      <alignment horizontal="center" vertical="center" wrapText="1"/>
    </xf>
    <xf numFmtId="0" fontId="47" fillId="0" borderId="1" xfId="49" applyFont="1" applyFill="1" applyBorder="1" applyAlignment="1" applyProtection="1">
      <alignment horizontal="center" vertical="center" wrapText="1"/>
    </xf>
    <xf numFmtId="0" fontId="47" fillId="0" borderId="1" xfId="49" applyFont="1" applyFill="1" applyBorder="1" applyAlignment="1" applyProtection="1">
      <alignment horizontal="left" vertical="center" wrapText="1"/>
    </xf>
    <xf numFmtId="2" fontId="47" fillId="0" borderId="1" xfId="49" applyNumberFormat="1" applyFont="1" applyFill="1" applyBorder="1" applyAlignment="1" applyProtection="1">
      <alignment horizontal="center" vertical="center" wrapText="1"/>
    </xf>
    <xf numFmtId="2" fontId="47" fillId="0" borderId="1" xfId="49" applyNumberFormat="1" applyFont="1" applyFill="1" applyBorder="1" applyAlignment="1" applyProtection="1">
      <alignment horizontal="left" vertical="center" wrapText="1"/>
    </xf>
    <xf numFmtId="183" fontId="4" fillId="0" borderId="1" xfId="49" applyNumberFormat="1" applyFont="1" applyFill="1" applyBorder="1" applyAlignment="1">
      <alignment horizontal="center" vertical="center" wrapText="1"/>
    </xf>
    <xf numFmtId="2" fontId="47" fillId="0" borderId="1" xfId="0" applyNumberFormat="1" applyFont="1" applyFill="1" applyBorder="1" applyAlignment="1">
      <alignment horizontal="left" vertical="center" wrapText="1"/>
    </xf>
    <xf numFmtId="0" fontId="47" fillId="0" borderId="1" xfId="51" applyFont="1" applyFill="1" applyBorder="1" applyAlignment="1" applyProtection="1">
      <alignment horizontal="center" vertical="center" wrapText="1"/>
    </xf>
    <xf numFmtId="2" fontId="47" fillId="0" borderId="1" xfId="51" applyNumberFormat="1" applyFont="1" applyFill="1" applyBorder="1" applyAlignment="1" applyProtection="1">
      <alignment horizontal="center" vertical="center" wrapText="1"/>
    </xf>
    <xf numFmtId="49" fontId="47" fillId="0" borderId="1" xfId="0" applyNumberFormat="1" applyFont="1" applyFill="1" applyBorder="1" applyAlignment="1" applyProtection="1">
      <alignment horizontal="center" vertical="center" wrapText="1"/>
      <protection locked="0"/>
    </xf>
    <xf numFmtId="49" fontId="47"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180" fontId="18" fillId="0" borderId="1" xfId="49" applyNumberFormat="1" applyFont="1" applyFill="1" applyBorder="1" applyAlignment="1">
      <alignment horizontal="center" vertical="center" wrapText="1"/>
    </xf>
    <xf numFmtId="179" fontId="50" fillId="0" borderId="1" xfId="49" applyNumberFormat="1" applyFont="1" applyFill="1" applyBorder="1" applyAlignment="1">
      <alignment horizontal="center" vertical="center" wrapText="1"/>
    </xf>
    <xf numFmtId="179" fontId="47" fillId="0" borderId="1" xfId="49" applyNumberFormat="1" applyFont="1" applyFill="1" applyBorder="1" applyAlignment="1" applyProtection="1">
      <alignment horizontal="center" vertical="center" wrapText="1"/>
    </xf>
    <xf numFmtId="179" fontId="39" fillId="0" borderId="1" xfId="0" applyNumberFormat="1" applyFont="1" applyFill="1" applyBorder="1" applyAlignment="1">
      <alignment horizontal="center" vertical="center" wrapText="1"/>
    </xf>
    <xf numFmtId="0" fontId="41" fillId="0" borderId="6" xfId="49" applyFont="1" applyFill="1" applyBorder="1" applyAlignment="1">
      <alignment horizontal="center" vertical="center" wrapText="1"/>
    </xf>
    <xf numFmtId="0" fontId="17" fillId="0" borderId="1" xfId="49" applyFont="1" applyFill="1" applyBorder="1" applyAlignment="1">
      <alignment vertical="center" wrapText="1"/>
    </xf>
    <xf numFmtId="0" fontId="53" fillId="0" borderId="1" xfId="49" applyFont="1" applyFill="1" applyBorder="1" applyAlignment="1">
      <alignment vertical="center" wrapText="1"/>
    </xf>
    <xf numFmtId="2" fontId="54" fillId="0" borderId="1" xfId="0" applyNumberFormat="1" applyFont="1" applyFill="1" applyBorder="1" applyAlignment="1">
      <alignment horizontal="center" vertical="center" wrapText="1"/>
    </xf>
    <xf numFmtId="2" fontId="54" fillId="0" borderId="1" xfId="0" applyNumberFormat="1" applyFont="1" applyFill="1" applyBorder="1" applyAlignment="1">
      <alignment horizontal="right" vertical="center" wrapText="1"/>
    </xf>
    <xf numFmtId="0" fontId="53" fillId="0" borderId="1" xfId="49" applyFont="1" applyFill="1" applyBorder="1" applyAlignment="1">
      <alignment horizontal="center" vertical="center" wrapText="1"/>
    </xf>
    <xf numFmtId="180" fontId="54" fillId="0" borderId="1" xfId="49" applyNumberFormat="1" applyFont="1" applyFill="1" applyBorder="1" applyAlignment="1" applyProtection="1">
      <alignment horizontal="center" vertical="center" wrapText="1"/>
    </xf>
    <xf numFmtId="180" fontId="54" fillId="0" borderId="1" xfId="49" applyNumberFormat="1" applyFont="1" applyFill="1" applyBorder="1" applyAlignment="1" applyProtection="1">
      <alignment horizontal="right" vertical="center" wrapText="1"/>
    </xf>
    <xf numFmtId="179" fontId="54" fillId="0" borderId="1" xfId="49" applyNumberFormat="1" applyFont="1" applyFill="1" applyBorder="1" applyAlignment="1" applyProtection="1">
      <alignment horizontal="right" vertical="center" wrapText="1"/>
    </xf>
    <xf numFmtId="179" fontId="54" fillId="0" borderId="1" xfId="49" applyNumberFormat="1" applyFont="1" applyFill="1" applyBorder="1" applyAlignment="1" applyProtection="1">
      <alignment horizontal="center" vertical="center" wrapText="1"/>
    </xf>
    <xf numFmtId="0" fontId="39" fillId="0" borderId="1" xfId="0" applyFont="1" applyFill="1" applyBorder="1" applyAlignment="1">
      <alignment horizontal="right" vertical="center" wrapText="1"/>
    </xf>
    <xf numFmtId="0" fontId="39" fillId="0" borderId="1" xfId="0" applyFont="1" applyFill="1" applyBorder="1" applyAlignment="1">
      <alignment horizontal="center" vertical="center" wrapText="1"/>
    </xf>
    <xf numFmtId="0" fontId="4" fillId="0" borderId="10" xfId="57"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2" fontId="55" fillId="0" borderId="1" xfId="0" applyNumberFormat="1" applyFont="1" applyFill="1" applyBorder="1" applyAlignment="1">
      <alignment horizontal="center" vertical="center" wrapText="1"/>
    </xf>
    <xf numFmtId="176" fontId="20" fillId="0" borderId="1" xfId="49" applyNumberFormat="1" applyFont="1" applyFill="1" applyBorder="1" applyAlignment="1">
      <alignment horizontal="left" vertical="center" wrapText="1"/>
    </xf>
    <xf numFmtId="176" fontId="20" fillId="0" borderId="1" xfId="49" applyNumberFormat="1" applyFont="1" applyFill="1" applyBorder="1" applyAlignment="1">
      <alignment horizontal="center" vertical="center" wrapText="1"/>
    </xf>
    <xf numFmtId="0" fontId="24" fillId="0" borderId="0" xfId="49" applyFont="1" applyFill="1" applyAlignment="1">
      <alignment vertical="center"/>
    </xf>
    <xf numFmtId="0" fontId="24" fillId="0" borderId="0" xfId="49" applyFont="1" applyFill="1" applyAlignment="1">
      <alignment vertical="center" wrapText="1"/>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center" vertical="center"/>
    </xf>
    <xf numFmtId="10" fontId="0" fillId="0" borderId="0" xfId="0" applyNumberFormat="1" applyFont="1" applyFill="1" applyBorder="1" applyAlignment="1">
      <alignment vertical="center"/>
    </xf>
    <xf numFmtId="49" fontId="10" fillId="0" borderId="0" xfId="49" applyNumberFormat="1" applyFont="1" applyFill="1" applyAlignment="1">
      <alignment horizontal="center" vertical="center" wrapText="1"/>
    </xf>
    <xf numFmtId="49" fontId="10" fillId="0" borderId="0" xfId="49" applyNumberFormat="1" applyFont="1" applyFill="1" applyAlignment="1">
      <alignment horizontal="left" vertical="center" wrapText="1"/>
    </xf>
    <xf numFmtId="179" fontId="10" fillId="0" borderId="0" xfId="49" applyNumberFormat="1" applyFont="1" applyFill="1" applyAlignment="1">
      <alignment horizontal="right" vertical="center" wrapText="1"/>
    </xf>
    <xf numFmtId="179" fontId="8" fillId="0" borderId="0" xfId="49" applyNumberFormat="1" applyFont="1" applyFill="1" applyAlignment="1">
      <alignment horizontal="right" vertical="center"/>
    </xf>
    <xf numFmtId="0" fontId="56" fillId="0" borderId="1" xfId="49" applyFont="1" applyFill="1" applyBorder="1" applyAlignment="1">
      <alignment horizontal="center" vertical="center" wrapText="1"/>
    </xf>
    <xf numFmtId="0" fontId="57" fillId="0" borderId="1" xfId="0" applyFont="1" applyFill="1" applyBorder="1" applyAlignment="1">
      <alignment horizontal="center" vertical="center"/>
    </xf>
    <xf numFmtId="0" fontId="9" fillId="0" borderId="6" xfId="49" applyFont="1" applyFill="1" applyBorder="1" applyAlignment="1">
      <alignment horizontal="center" vertical="center" wrapText="1"/>
    </xf>
    <xf numFmtId="0" fontId="9" fillId="0" borderId="1" xfId="49" applyFont="1" applyFill="1" applyBorder="1" applyAlignment="1">
      <alignment horizontal="center" vertical="center" wrapText="1"/>
    </xf>
    <xf numFmtId="177" fontId="57" fillId="0" borderId="1" xfId="0" applyNumberFormat="1" applyFont="1" applyFill="1" applyBorder="1" applyAlignment="1">
      <alignment horizontal="center" vertical="center"/>
    </xf>
    <xf numFmtId="179" fontId="57" fillId="0" borderId="1" xfId="0" applyNumberFormat="1" applyFont="1" applyFill="1" applyBorder="1" applyAlignment="1">
      <alignment horizontal="center" vertical="center"/>
    </xf>
    <xf numFmtId="0" fontId="9" fillId="0" borderId="11" xfId="49" applyFont="1" applyFill="1" applyBorder="1" applyAlignment="1">
      <alignment horizontal="center" vertical="center" wrapText="1"/>
    </xf>
    <xf numFmtId="0" fontId="9" fillId="0" borderId="8" xfId="49" applyFont="1" applyFill="1" applyBorder="1" applyAlignment="1">
      <alignment horizontal="center" vertical="center" wrapText="1"/>
    </xf>
    <xf numFmtId="0" fontId="58" fillId="3" borderId="1" xfId="0" applyFont="1" applyFill="1" applyBorder="1" applyAlignment="1">
      <alignment horizontal="center" vertical="center"/>
    </xf>
    <xf numFmtId="177" fontId="58" fillId="3" borderId="1" xfId="0" applyNumberFormat="1" applyFont="1" applyFill="1" applyBorder="1" applyAlignment="1">
      <alignment horizontal="center" vertical="center"/>
    </xf>
    <xf numFmtId="179" fontId="58" fillId="3" borderId="1" xfId="0" applyNumberFormat="1" applyFont="1" applyFill="1" applyBorder="1" applyAlignment="1">
      <alignment horizontal="center" vertical="center"/>
    </xf>
    <xf numFmtId="176" fontId="58" fillId="3" borderId="1" xfId="0" applyNumberFormat="1" applyFont="1" applyFill="1" applyBorder="1" applyAlignment="1">
      <alignment horizontal="center" vertical="center"/>
    </xf>
    <xf numFmtId="177" fontId="57" fillId="3" borderId="1" xfId="0" applyNumberFormat="1" applyFont="1" applyFill="1" applyBorder="1" applyAlignment="1">
      <alignment horizontal="center" vertical="center"/>
    </xf>
    <xf numFmtId="0" fontId="59" fillId="3" borderId="1" xfId="0" applyFont="1" applyFill="1" applyBorder="1" applyAlignment="1">
      <alignment horizontal="center" vertical="center"/>
    </xf>
    <xf numFmtId="177" fontId="59" fillId="3" borderId="1" xfId="0" applyNumberFormat="1" applyFont="1" applyFill="1" applyBorder="1" applyAlignment="1">
      <alignment horizontal="center" vertical="center"/>
    </xf>
    <xf numFmtId="179" fontId="59" fillId="3" borderId="1" xfId="0" applyNumberFormat="1" applyFont="1" applyFill="1" applyBorder="1" applyAlignment="1">
      <alignment horizontal="center" vertical="center"/>
    </xf>
    <xf numFmtId="0" fontId="57" fillId="0" borderId="1" xfId="0" applyFont="1" applyFill="1" applyBorder="1" applyAlignment="1">
      <alignment vertical="center"/>
    </xf>
    <xf numFmtId="0" fontId="0" fillId="3" borderId="1" xfId="0" applyFont="1" applyFill="1" applyBorder="1" applyAlignment="1">
      <alignment vertical="center"/>
    </xf>
    <xf numFmtId="10" fontId="0" fillId="0" borderId="0" xfId="3" applyNumberFormat="1" applyFont="1" applyFill="1" applyBorder="1" applyAlignment="1">
      <alignment horizontal="center" vertical="center"/>
    </xf>
    <xf numFmtId="0" fontId="60" fillId="3" borderId="1" xfId="0" applyFont="1" applyFill="1" applyBorder="1" applyAlignment="1">
      <alignment vertical="center"/>
    </xf>
    <xf numFmtId="0" fontId="0" fillId="0" borderId="0" xfId="0" applyFont="1" applyFill="1" applyAlignment="1">
      <alignment vertical="center"/>
    </xf>
    <xf numFmtId="0" fontId="56" fillId="0" borderId="6" xfId="49" applyFont="1" applyFill="1" applyBorder="1" applyAlignment="1">
      <alignment horizontal="center" vertical="center" wrapText="1"/>
    </xf>
    <xf numFmtId="0" fontId="56" fillId="0" borderId="2" xfId="49" applyFont="1" applyFill="1" applyBorder="1" applyAlignment="1">
      <alignment horizontal="center" vertical="center" wrapText="1"/>
    </xf>
    <xf numFmtId="0" fontId="56" fillId="0" borderId="3" xfId="49" applyFont="1" applyFill="1" applyBorder="1" applyAlignment="1">
      <alignment horizontal="center" vertical="center" wrapText="1"/>
    </xf>
    <xf numFmtId="0" fontId="56" fillId="0" borderId="8" xfId="49" applyFont="1" applyFill="1" applyBorder="1" applyAlignment="1">
      <alignment horizontal="center" vertical="center" wrapText="1"/>
    </xf>
    <xf numFmtId="0" fontId="0" fillId="0" borderId="0" xfId="0" applyFont="1" applyFill="1" applyAlignment="1">
      <alignment horizontal="left" vertical="center"/>
    </xf>
    <xf numFmtId="10" fontId="0" fillId="0" borderId="0" xfId="3" applyNumberFormat="1" applyFont="1" applyFill="1" applyBorder="1" applyAlignment="1">
      <alignment vertical="center"/>
    </xf>
    <xf numFmtId="176" fontId="10" fillId="0" borderId="0" xfId="49" applyNumberFormat="1" applyFont="1" applyFill="1" applyAlignment="1">
      <alignment horizontal="center" vertical="center" wrapText="1"/>
    </xf>
    <xf numFmtId="176" fontId="8" fillId="0" borderId="0" xfId="49" applyNumberFormat="1" applyFont="1" applyFill="1" applyAlignment="1">
      <alignment horizontal="right" vertical="center"/>
    </xf>
    <xf numFmtId="179" fontId="8" fillId="0" borderId="0" xfId="49" applyNumberFormat="1" applyFont="1" applyFill="1" applyAlignment="1">
      <alignment horizontal="center" vertical="center"/>
    </xf>
    <xf numFmtId="176" fontId="56" fillId="0" borderId="2" xfId="49" applyNumberFormat="1" applyFont="1" applyFill="1" applyBorder="1" applyAlignment="1">
      <alignment horizontal="center" vertical="center" wrapText="1"/>
    </xf>
    <xf numFmtId="176" fontId="56" fillId="0" borderId="3" xfId="49" applyNumberFormat="1" applyFont="1" applyFill="1" applyBorder="1" applyAlignment="1">
      <alignment horizontal="center" vertical="center" wrapText="1"/>
    </xf>
    <xf numFmtId="176" fontId="56" fillId="0" borderId="4" xfId="49" applyNumberFormat="1" applyFont="1" applyFill="1" applyBorder="1" applyAlignment="1">
      <alignment horizontal="center" vertical="center" wrapText="1"/>
    </xf>
    <xf numFmtId="0" fontId="56" fillId="0" borderId="0" xfId="49" applyFont="1" applyFill="1" applyBorder="1" applyAlignment="1">
      <alignment horizontal="center" vertical="center" wrapText="1"/>
    </xf>
    <xf numFmtId="0" fontId="57" fillId="0" borderId="0" xfId="0" applyFont="1" applyFill="1" applyBorder="1" applyAlignment="1">
      <alignment vertical="center"/>
    </xf>
    <xf numFmtId="10" fontId="57" fillId="0" borderId="0" xfId="3" applyNumberFormat="1" applyFont="1" applyFill="1" applyBorder="1" applyAlignment="1">
      <alignment vertical="center"/>
    </xf>
    <xf numFmtId="0" fontId="0" fillId="0" borderId="1" xfId="0" applyFont="1" applyFill="1" applyBorder="1" applyAlignment="1">
      <alignment horizontal="center" vertical="center"/>
    </xf>
    <xf numFmtId="176" fontId="61" fillId="0" borderId="0" xfId="0" applyNumberFormat="1" applyFont="1" applyFill="1" applyBorder="1" applyAlignment="1">
      <alignment horizontal="center" vertical="center" wrapText="1"/>
    </xf>
    <xf numFmtId="179" fontId="57" fillId="0" borderId="0" xfId="0" applyNumberFormat="1" applyFont="1" applyFill="1" applyBorder="1" applyAlignment="1">
      <alignment horizontal="center" vertical="center"/>
    </xf>
    <xf numFmtId="9" fontId="57" fillId="0" borderId="0" xfId="3"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珠海市政府投资计划完成情况 2" xfId="49"/>
    <cellStyle name="常规_续建项目_1" xfId="50"/>
    <cellStyle name="常规_新建项目_5_竣工项目_39" xfId="51"/>
    <cellStyle name="常规_珠海市政府投资计划完成情况 2_竣工项目_11" xfId="52"/>
    <cellStyle name="常规_新建项目_5_竣工项目_39_竣工项目_2" xfId="53"/>
    <cellStyle name="常规_政府投资项目计划_12" xfId="54"/>
    <cellStyle name="常规_珠海市政府投资计划完成情况 2_竣工项目" xfId="55"/>
    <cellStyle name="常规_珠海市政府投资计划完成情况 2 2" xfId="56"/>
    <cellStyle name="常规 4" xfId="57"/>
    <cellStyle name="常规 3" xfId="58"/>
  </cellStyles>
  <dxfs count="2">
    <dxf>
      <fill>
        <patternFill patternType="solid">
          <fgColor indexed="10"/>
          <bgColor indexed="52"/>
        </patternFill>
      </fill>
    </dxf>
    <dxf>
      <fill>
        <patternFill patternType="solid">
          <fgColor rgb="FFFFFF00"/>
          <bgColor rgb="FF00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5991;&#20214;\Desktop\&#20851;&#20110;&#32534;&#25253;&#39640;&#26032;&#21306;2024&#24180;&#25919;&#24220;&#25237;&#36164;&#39033;&#30446;&#35745;&#21010;&#30340;&#36890;&#30693;\&#24449;&#27714;&#24847;&#35265;&#36820;&#22238;&#34920;\&#25919;&#24220;&#25237;&#36164;&#39033;&#30446;&#24449;&#27714;&#24847;&#35265;\&#39640;&#26032;&#21306;2024&#24180;&#25919;&#24220;&#25237;&#36164;&#39033;&#30446;&#35745;&#21010;&#65288;&#31038;&#20250;&#20107;&#19994;&#236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4352;&#23398;&#33635;\Documents\WXWorkLocal\1688849906554280_1970325008038486\Cache\File\2023-12\&#38468;&#20214;1-6&#65306;&#39640;&#26032;&#21306;2024&#24180;&#25919;&#24220;&#25237;&#36164;&#39033;&#30446;&#35745;&#21010;2023.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竣工项目"/>
      <sheetName val="续建项目"/>
      <sheetName val="新建项目"/>
      <sheetName val="储备库项目"/>
      <sheetName val="Sheet1"/>
    </sheetNames>
    <sheetDataSet>
      <sheetData sheetId="0"/>
      <sheetData sheetId="1">
        <row r="3">
          <cell r="M3" t="str">
            <v>单位：万元</v>
          </cell>
        </row>
        <row r="4">
          <cell r="B4" t="str">
            <v>项目名称</v>
          </cell>
          <cell r="C4" t="str">
            <v>牵头责任单位</v>
          </cell>
          <cell r="D4" t="str">
            <v>建设
单位</v>
          </cell>
          <cell r="E4" t="str">
            <v>建设内容及规模</v>
          </cell>
          <cell r="F4" t="str">
            <v>总投资</v>
          </cell>
          <cell r="G4" t="str">
            <v>建设起止年限</v>
          </cell>
          <cell r="H4" t="str">
            <v>建设性质</v>
          </cell>
          <cell r="I4" t="str">
            <v>立项批复文号</v>
          </cell>
          <cell r="J4" t="str">
            <v>预计累计至2024年底完成投资额</v>
          </cell>
          <cell r="K4" t="str">
            <v>投资计划</v>
          </cell>
          <cell r="L4" t="str">
            <v>资金计划</v>
          </cell>
        </row>
        <row r="4">
          <cell r="O4" t="str">
            <v>上半年资金计划</v>
          </cell>
          <cell r="P4" t="str">
            <v>下半年资金计划</v>
          </cell>
        </row>
        <row r="5">
          <cell r="L5" t="str">
            <v>合计</v>
          </cell>
          <cell r="M5" t="str">
            <v>区财政</v>
          </cell>
          <cell r="N5" t="str">
            <v>其他</v>
          </cell>
        </row>
        <row r="6">
          <cell r="B6" t="str">
            <v>2</v>
          </cell>
          <cell r="C6" t="str">
            <v>3</v>
          </cell>
          <cell r="D6" t="str">
            <v>4</v>
          </cell>
          <cell r="E6" t="str">
            <v>5</v>
          </cell>
          <cell r="F6" t="str">
            <v>6</v>
          </cell>
          <cell r="G6" t="str">
            <v>7</v>
          </cell>
          <cell r="H6" t="str">
            <v>8</v>
          </cell>
          <cell r="I6" t="str">
            <v>9</v>
          </cell>
          <cell r="J6" t="str">
            <v>10</v>
          </cell>
          <cell r="K6" t="str">
            <v>11</v>
          </cell>
          <cell r="L6" t="str">
            <v>12</v>
          </cell>
          <cell r="M6" t="str">
            <v>13</v>
          </cell>
          <cell r="N6" t="str">
            <v>14</v>
          </cell>
          <cell r="O6" t="str">
            <v>15</v>
          </cell>
          <cell r="P6" t="str">
            <v>16</v>
          </cell>
        </row>
        <row r="7">
          <cell r="F7">
            <v>933865.98</v>
          </cell>
        </row>
        <row r="7">
          <cell r="J7">
            <v>664507.114</v>
          </cell>
          <cell r="K7">
            <v>205241.842470588</v>
          </cell>
          <cell r="L7">
            <v>199930.917625</v>
          </cell>
          <cell r="M7">
            <v>199930.917625</v>
          </cell>
          <cell r="N7">
            <v>0</v>
          </cell>
        </row>
        <row r="8">
          <cell r="B8" t="str">
            <v>珠海市高新区金溪大道（高新区段二期）新建工程</v>
          </cell>
          <cell r="C8" t="str">
            <v>区住房城乡建设局</v>
          </cell>
          <cell r="D8" t="str">
            <v>高新基建</v>
          </cell>
          <cell r="E8" t="str">
            <v>建设长度约1.8km，红线宽度45m。</v>
          </cell>
          <cell r="F8">
            <v>25587.78</v>
          </cell>
          <cell r="G8" t="str">
            <v>2022-2024</v>
          </cell>
          <cell r="H8" t="str">
            <v>续建</v>
          </cell>
          <cell r="I8" t="str">
            <v>珠高发投审〔2022〕46号</v>
          </cell>
          <cell r="J8">
            <v>15364</v>
          </cell>
          <cell r="K8">
            <v>11194</v>
          </cell>
          <cell r="L8">
            <v>9741.7</v>
          </cell>
          <cell r="M8">
            <v>9741.7</v>
          </cell>
          <cell r="N8">
            <v>0</v>
          </cell>
        </row>
        <row r="9">
          <cell r="B9" t="str">
            <v>珠海市高新区500kV金鼎站配套市政电缆隧道新建工程</v>
          </cell>
          <cell r="C9" t="str">
            <v>区住房城乡建设局</v>
          </cell>
          <cell r="D9" t="str">
            <v>格力建投</v>
          </cell>
          <cell r="E9" t="str">
            <v>本工程（项目编码：2205-440400-04-01-331945）位于珠海市高新区金鼎片区，新建220KV电缆隧道，起点二线公路，终点接金溪珠海高新技术产业开发区发展改革和财政金融局文件大道电缆隧道，采用单舱、双舱结合形式，全长约3.96km，其中二线公路-金环路段新建十二回路220KV双舱电缆隧道，长度约0.84km，断面外尺寸B*H=6.7*4.0，局部顶管段为2个Ф3.5m内径圆形电缆隧道；金环路段新建六回路220KV单舱电缆隧道，长度约3.12km，断面外尺寸B*H=3.6*4.0m；项目建设主要内容包括基坑支护工程、主体结构工程、工艺工程、通风工程、保护及拆除恢复工程。</v>
          </cell>
          <cell r="F9">
            <v>25700</v>
          </cell>
          <cell r="G9" t="str">
            <v>2023年4月-2025年1月</v>
          </cell>
          <cell r="H9" t="str">
            <v>续建</v>
          </cell>
          <cell r="I9" t="str">
            <v>珠高发投审〔2022〕75号</v>
          </cell>
          <cell r="J9">
            <v>17000</v>
          </cell>
          <cell r="K9">
            <v>10000</v>
          </cell>
          <cell r="L9">
            <v>8000</v>
          </cell>
          <cell r="M9">
            <v>8000</v>
          </cell>
          <cell r="N9">
            <v>0</v>
          </cell>
        </row>
        <row r="10">
          <cell r="B10" t="str">
            <v>珠海市高新区220kV永丰站配套市政电缆隧道新建工程（一期）</v>
          </cell>
          <cell r="C10" t="str">
            <v>区住房城乡建设局</v>
          </cell>
          <cell r="D10" t="str">
            <v>格力建投</v>
          </cell>
          <cell r="E10" t="str">
            <v>本工程一期实施二线公路、金鼎西路、金环路、中珠渠北路、中珠渠南路。一期建设内容包括新建 220kV 四回路电力隧道约 3.28km，采用单舱形式，断面尺寸B×H=2.80m×2.60m；新建 110kV 六回路电缆沟，约 5.39km，断面尺寸 B×H=2.06m×2.68m。</v>
          </cell>
          <cell r="F10">
            <v>46450</v>
          </cell>
          <cell r="G10" t="str">
            <v>2023年9月-2025年7月</v>
          </cell>
          <cell r="H10" t="str">
            <v>续建</v>
          </cell>
          <cell r="I10" t="str">
            <v>珠高发投审〔2023〕10号</v>
          </cell>
          <cell r="J10">
            <v>11000</v>
          </cell>
          <cell r="K10">
            <v>9000</v>
          </cell>
          <cell r="L10">
            <v>7200</v>
          </cell>
          <cell r="M10">
            <v>7200</v>
          </cell>
          <cell r="N10">
            <v>0</v>
          </cell>
        </row>
        <row r="11">
          <cell r="B11" t="str">
            <v>广东省珠海市大湾区智造产业园及配套服务设施项目-二线公路改造提升及衔接通道工程</v>
          </cell>
          <cell r="C11" t="str">
            <v>区住房城乡建设局</v>
          </cell>
          <cell r="D11" t="str">
            <v>华发集团</v>
          </cell>
          <cell r="E11" t="str">
            <v>包括3条道路、3条排洪渠及3段电力隧道；市政道路包括次干路二线公路、主干路金丰一路以及支路550kv金鼎站配套路，设计总长约7.92km；排洪渠包括甲背坑排洪渠、谭井排洪渠、谭井水库排洪渠共3条排洪渠，总长约1.0km；电力隧道包括金鼎站进站路、二线公路段（金园五路~金园二路）电力隧道，设计总长约1.47km。</v>
          </cell>
          <cell r="F11">
            <v>74540</v>
          </cell>
          <cell r="G11" t="str">
            <v>2022-2023</v>
          </cell>
          <cell r="H11" t="str">
            <v>续建</v>
          </cell>
          <cell r="I11" t="str">
            <v>珠高发投审〔2022〕68号</v>
          </cell>
          <cell r="J11">
            <v>30500</v>
          </cell>
          <cell r="K11">
            <v>8000</v>
          </cell>
          <cell r="L11">
            <v>8800</v>
          </cell>
          <cell r="M11">
            <v>8800</v>
          </cell>
          <cell r="N11">
            <v>0</v>
          </cell>
        </row>
        <row r="12">
          <cell r="B12" t="str">
            <v>中珠渠南路工程</v>
          </cell>
          <cell r="C12" t="str">
            <v>区住房城乡建设局</v>
          </cell>
          <cell r="D12" t="str">
            <v>城建市政</v>
          </cell>
          <cell r="E12" t="str">
            <v>本工程位于珠海高新区金鼎片区，西起金环路，东至京珠高速西辅道，道路全长约3426米，道路红线宽度为24米，道路等级为城市次干路，双向4车道，设计时速为40公里每小时。</v>
          </cell>
          <cell r="F12">
            <v>16002</v>
          </cell>
          <cell r="G12" t="str">
            <v>2019-2024</v>
          </cell>
          <cell r="H12" t="str">
            <v>续建</v>
          </cell>
          <cell r="I12" t="str">
            <v>珠高发投〔2018〕73号</v>
          </cell>
          <cell r="J12">
            <v>8000</v>
          </cell>
          <cell r="K12">
            <v>6250</v>
          </cell>
          <cell r="L12">
            <v>5000</v>
          </cell>
          <cell r="M12">
            <v>5000</v>
          </cell>
          <cell r="N12">
            <v>0</v>
          </cell>
        </row>
        <row r="13">
          <cell r="B13" t="str">
            <v>金凤排洪渠（凤凰山隧道北-南围海堤段）综合整治工程</v>
          </cell>
          <cell r="C13" t="str">
            <v>区住房城乡建设局</v>
          </cell>
          <cell r="D13" t="str">
            <v>交通集团</v>
          </cell>
          <cell r="E13" t="str">
            <v>项目起于凤凰山隧道北出口，止于南围海堤。包含两侧慢性系统的贯通，驿站、活动场地等配套设施完善；修建道路共计约1,024米；新建2座桥梁，拆除3座，提升5座；排洪渠修建工程长5,350米，含挡墙重建或加固、渠底清淤、两岸步道建设等。</v>
          </cell>
          <cell r="F13">
            <v>52647.13</v>
          </cell>
          <cell r="G13" t="str">
            <v>2022-2024</v>
          </cell>
          <cell r="H13" t="str">
            <v>续建</v>
          </cell>
          <cell r="I13" t="str">
            <v>珠高发投审〔 2021〕 11号</v>
          </cell>
          <cell r="J13">
            <v>42000</v>
          </cell>
          <cell r="K13">
            <v>5000</v>
          </cell>
          <cell r="L13">
            <v>10000</v>
          </cell>
          <cell r="M13">
            <v>10000</v>
          </cell>
          <cell r="N13">
            <v>0</v>
          </cell>
        </row>
        <row r="14">
          <cell r="B14" t="str">
            <v>金唐东路（二期）工程</v>
          </cell>
          <cell r="C14" t="str">
            <v>区住房城乡建设局</v>
          </cell>
          <cell r="D14" t="str">
            <v>交通集团</v>
          </cell>
          <cell r="E14" t="str">
            <v>项目起点接现状金唐东路（一期）、与哈工大延长线Ｔ型平面交叉，路线以隧道形式穿越小南山北路、同时穿越中大建设用地，于唐南路以西出洞，分别与唐南路、港湾大道平面交叉，建设规模为新建长约2.3公里双向4车道城市次干路，其中隧道长度约2.3公里，隧道预留双向6车道宽度。</v>
          </cell>
          <cell r="F14">
            <v>62380.17</v>
          </cell>
          <cell r="G14" t="str">
            <v>2020-2024</v>
          </cell>
          <cell r="H14" t="str">
            <v>续建</v>
          </cell>
          <cell r="I14" t="str">
            <v>珠高发投审〔 2019〕60号</v>
          </cell>
          <cell r="J14">
            <v>62380.17</v>
          </cell>
          <cell r="K14">
            <v>5000</v>
          </cell>
          <cell r="L14">
            <v>4000</v>
          </cell>
          <cell r="M14">
            <v>4000</v>
          </cell>
          <cell r="N14">
            <v>0</v>
          </cell>
        </row>
        <row r="15">
          <cell r="B15" t="str">
            <v>珠海市高新区东岸留思山片区滞泄洪提升项目</v>
          </cell>
          <cell r="C15" t="str">
            <v>区住房城乡建设局</v>
          </cell>
          <cell r="D15" t="str">
            <v>高新基建</v>
          </cell>
          <cell r="E15" t="str">
            <v>本项目位于留思山东侧，总占地面积约21.9公顷，其中水面积4.7公顷,陆域面积17.2公顷。项目主要建设内容包括：泄滞洪水道、6米宽。</v>
          </cell>
          <cell r="F15">
            <v>6111.69</v>
          </cell>
          <cell r="G15" t="str">
            <v>2022-2024</v>
          </cell>
          <cell r="H15" t="str">
            <v>续建</v>
          </cell>
          <cell r="I15" t="str">
            <v>珠高发投审〔2023〕1号</v>
          </cell>
          <cell r="J15">
            <v>5721.32</v>
          </cell>
          <cell r="K15">
            <v>4336</v>
          </cell>
          <cell r="L15">
            <v>3547.13</v>
          </cell>
          <cell r="M15">
            <v>3547.13</v>
          </cell>
          <cell r="N15">
            <v>0</v>
          </cell>
        </row>
        <row r="16">
          <cell r="B16" t="str">
            <v>珠海市高新区排水管网病害修复工程一期工程</v>
          </cell>
          <cell r="C16" t="str">
            <v>区住房城乡建设局</v>
          </cell>
          <cell r="D16" t="str">
            <v>珠海供排水管网有限公司</v>
          </cell>
          <cell r="E16" t="str">
            <v>珠海市高新区排水管网病害修复工程一期工程共修复北围、金鼎、唐家、前环、鸡山、后环等片区内市政道路约28条，其中开挖修复污水管长度约3.75km;开挖修复雨水管长度约为3.2km;CIPP紫外线光固化整修长度约0.9km;CIPP点状原位固化修复约337环。</v>
          </cell>
          <cell r="F16">
            <v>8388.14</v>
          </cell>
          <cell r="G16" t="str">
            <v>2023年7月-2024年12月</v>
          </cell>
          <cell r="H16" t="str">
            <v>续建</v>
          </cell>
          <cell r="I16" t="str">
            <v>珠高发投审〔2022〕72号</v>
          </cell>
          <cell r="J16">
            <v>6500</v>
          </cell>
          <cell r="K16">
            <v>4000</v>
          </cell>
          <cell r="L16">
            <v>3200</v>
          </cell>
          <cell r="M16">
            <v>3200</v>
          </cell>
          <cell r="N16">
            <v>0</v>
          </cell>
        </row>
        <row r="17">
          <cell r="B17" t="str">
            <v>珠海市高新区金鼎东路（金环路-南路段）配套道路新建工程</v>
          </cell>
          <cell r="C17" t="str">
            <v>区住房城乡建设局</v>
          </cell>
          <cell r="D17" t="str">
            <v>区公建中心</v>
          </cell>
          <cell r="E17" t="str">
            <v>项目位于珠海高新区的金鼎片区，工程建设内容包含1条市政道路、1座桥梁和1条市政排洪渠和1座临时钢便桥。项目实施内容包括道路工程、污水工程、雨水工程、桥涵工程、排洪渠工程、给水工程、预留沟工程、缆线管廊工程、照明工程、绿化景观工程、安监工程、交通设施、海绵城市工程、预留燃气管位等。</v>
          </cell>
          <cell r="F17">
            <v>8438.77</v>
          </cell>
          <cell r="G17" t="str">
            <v>2022-2024</v>
          </cell>
          <cell r="H17" t="str">
            <v>续建</v>
          </cell>
          <cell r="I17" t="str">
            <v>珠高发投审〔2022〕117号</v>
          </cell>
          <cell r="J17">
            <v>8438.77</v>
          </cell>
          <cell r="K17">
            <v>4000</v>
          </cell>
          <cell r="L17">
            <v>3800</v>
          </cell>
          <cell r="M17">
            <v>3800</v>
          </cell>
          <cell r="N17">
            <v>0</v>
          </cell>
        </row>
        <row r="18">
          <cell r="B18" t="str">
            <v>淇澳红树林路工程</v>
          </cell>
          <cell r="C18" t="str">
            <v>区住房城乡建设局</v>
          </cell>
          <cell r="D18" t="str">
            <v>区公建中心</v>
          </cell>
          <cell r="E18" t="str">
            <v>本工程位于珠海市高新区唐家湾片区淇澳岛，线路总体呈北西走向，项目起点位于淇澳环岛路（东线），项目终点接在建的红林路（X588），路线全长2020.17m。本项目工作范围含道路工程、管线工程、箱涵工程、交通工程、景观工程、照明工程等。</v>
          </cell>
          <cell r="F18">
            <v>14265</v>
          </cell>
          <cell r="G18" t="str">
            <v>2022-2024</v>
          </cell>
          <cell r="H18" t="str">
            <v>续建</v>
          </cell>
          <cell r="I18" t="str">
            <v>珠高发投〔2020〕25号</v>
          </cell>
          <cell r="J18">
            <v>14265</v>
          </cell>
          <cell r="K18">
            <v>3500</v>
          </cell>
          <cell r="L18">
            <v>3400</v>
          </cell>
          <cell r="M18">
            <v>3400</v>
          </cell>
          <cell r="N18">
            <v>0</v>
          </cell>
        </row>
        <row r="19">
          <cell r="B19" t="str">
            <v>珠海市高新区金鼎山南片区配套基础设施新建工程</v>
          </cell>
          <cell r="C19" t="str">
            <v>区住房城乡建设局</v>
          </cell>
          <cell r="D19" t="str">
            <v>高新基建</v>
          </cell>
          <cell r="E19" t="str">
            <v>本工程（项目编码：2201-440402-04-01-920537）位于高新区金鼎片区，新建4条道路，道路总长1820米。其中金园路长约500米，宽34米；规划一路长约307米，宽20米；规划二路长约550米，宽20米；规划三路长约463米，宽20米。场地平整面积约108,385.78平方米，修建排洪渠长575.64米,断截面6*3米。建设内容包括道路工程、配套市政给水、污水和雨水、照明电缆沟及通信沟设计等。</v>
          </cell>
          <cell r="F19">
            <v>10066.24</v>
          </cell>
          <cell r="G19" t="str">
            <v>2022-2024</v>
          </cell>
          <cell r="H19" t="str">
            <v>续建</v>
          </cell>
          <cell r="I19" t="str">
            <v>珠高发投审〔2022〕48号</v>
          </cell>
          <cell r="J19">
            <v>10022.98</v>
          </cell>
          <cell r="K19">
            <v>2800</v>
          </cell>
          <cell r="L19">
            <v>2380.12</v>
          </cell>
          <cell r="M19">
            <v>2380.12</v>
          </cell>
          <cell r="N19">
            <v>0</v>
          </cell>
        </row>
        <row r="20">
          <cell r="B20" t="str">
            <v>广东省珠海市大湾区智造产业园及配套服务设施项目-五桂山高位水池及金鼎2#泵站</v>
          </cell>
          <cell r="C20" t="str">
            <v>区住房城乡建设局</v>
          </cell>
          <cell r="D20" t="str">
            <v>华发集团</v>
          </cell>
          <cell r="E20" t="str">
            <v>新建一座五桂山高位水池，规划容积10000立方米，池底高程50米；新建一座加压泵站，规划规模2500立方米/小时，已经配建管道总长约2.8千米</v>
          </cell>
          <cell r="F20">
            <v>11700</v>
          </cell>
          <cell r="G20" t="str">
            <v>2022-2023</v>
          </cell>
          <cell r="H20" t="str">
            <v>续建</v>
          </cell>
          <cell r="I20" t="str">
            <v>珠高发投审〔2022〕76号</v>
          </cell>
          <cell r="J20">
            <v>5000</v>
          </cell>
          <cell r="K20">
            <v>2400</v>
          </cell>
          <cell r="L20">
            <v>2520</v>
          </cell>
          <cell r="M20">
            <v>2520</v>
          </cell>
          <cell r="N20">
            <v>0</v>
          </cell>
        </row>
        <row r="21">
          <cell r="B21" t="str">
            <v>珠海市金溪大道新建工程（高新区段一期）</v>
          </cell>
          <cell r="C21" t="str">
            <v>区住房城乡建设局</v>
          </cell>
          <cell r="D21" t="str">
            <v>高新基建</v>
          </cell>
          <cell r="E21" t="str">
            <v>本项目位于金唐西路与金环路交叉路口，主要建设内容包括道路工程、桥涵工程、管线工程、照明工程、交通及安监工程、景绿化工程等。新建道路总长为2066米，红线宽45米；其中起点桥梁长380米，宽度27米。</v>
          </cell>
          <cell r="F21">
            <v>33995.63</v>
          </cell>
          <cell r="G21" t="str">
            <v>2020-2023</v>
          </cell>
          <cell r="H21" t="str">
            <v>续建</v>
          </cell>
          <cell r="I21" t="str">
            <v>珠高发投审〔2022〕3号</v>
          </cell>
          <cell r="J21">
            <v>26256</v>
          </cell>
          <cell r="K21">
            <v>2200</v>
          </cell>
          <cell r="L21">
            <v>1903.6962</v>
          </cell>
          <cell r="M21">
            <v>1903.6962</v>
          </cell>
          <cell r="N21">
            <v>0</v>
          </cell>
        </row>
        <row r="22">
          <cell r="B22" t="str">
            <v>珠海市高新区会同集配套市政基础设施新建工程</v>
          </cell>
          <cell r="C22" t="str">
            <v>区住房城乡建设局</v>
          </cell>
          <cell r="D22" t="str">
            <v>高新基建</v>
          </cell>
          <cell r="E22" t="str">
            <v>位于北师大西侧，建设内容包括5条配套道路约2km，3条排洪渠及场地平整。</v>
          </cell>
          <cell r="F22">
            <v>9612.78</v>
          </cell>
          <cell r="G22" t="str">
            <v>2022-2023</v>
          </cell>
          <cell r="H22" t="str">
            <v>续建</v>
          </cell>
          <cell r="I22" t="str">
            <v>珠高发投审〔2022〕51号</v>
          </cell>
          <cell r="J22">
            <v>9578</v>
          </cell>
          <cell r="K22">
            <v>1760</v>
          </cell>
          <cell r="L22">
            <v>1500</v>
          </cell>
          <cell r="M22">
            <v>1500</v>
          </cell>
          <cell r="N22">
            <v>0</v>
          </cell>
        </row>
        <row r="23">
          <cell r="B23" t="str">
            <v>广东省珠海市大湾区智造产业园及配套服务设施项目-ABCD片区市政配套工程</v>
          </cell>
          <cell r="C23" t="str">
            <v>区住房城乡建设局</v>
          </cell>
          <cell r="D23" t="str">
            <v>华发集团</v>
          </cell>
          <cell r="E23" t="str">
            <v>包括9条道路、2条排洪渠及4条截洪沟；市政道路包括规划一路、规划二路等9条支路，设计总长约4.60km；排洪渠包括五桂山2#排洪渠、河屋坑排洪渠共2条排洪渠，总长约1.23km；截洪沟共4条，设计总长约1.20km。</v>
          </cell>
          <cell r="F23">
            <v>25873</v>
          </cell>
          <cell r="G23" t="str">
            <v>2022-2023</v>
          </cell>
          <cell r="H23" t="str">
            <v>续建</v>
          </cell>
          <cell r="I23" t="str">
            <v>珠高发投审〔2022〕77号</v>
          </cell>
          <cell r="J23">
            <v>6000</v>
          </cell>
          <cell r="K23">
            <v>1700</v>
          </cell>
          <cell r="L23">
            <v>2000</v>
          </cell>
          <cell r="M23">
            <v>2000</v>
          </cell>
          <cell r="N23">
            <v>0</v>
          </cell>
        </row>
        <row r="24">
          <cell r="B24" t="str">
            <v>高新区智慧水务工程</v>
          </cell>
          <cell r="C24" t="str">
            <v>区住房城乡建设局</v>
          </cell>
          <cell r="D24" t="str">
            <v>高华城资</v>
          </cell>
          <cell r="E24" t="str">
            <v>1.智慧水务管理平台；
2.30个污水管网监测点；
3.27处河涌水系监测点
4.3处内涝监测点；
5.11处水闸监测点；
6.7处海堤监测点；
7.3个水库监测点。</v>
          </cell>
          <cell r="F24">
            <v>1315.88</v>
          </cell>
          <cell r="G24" t="str">
            <v>2022-2023</v>
          </cell>
          <cell r="H24" t="str">
            <v>续建</v>
          </cell>
          <cell r="I24" t="str">
            <v>珠高发投审〔2023〕2号</v>
          </cell>
          <cell r="J24">
            <v>1315.88</v>
          </cell>
          <cell r="K24">
            <v>1250</v>
          </cell>
          <cell r="L24">
            <v>1200</v>
          </cell>
          <cell r="M24">
            <v>1200</v>
          </cell>
          <cell r="N24">
            <v>0</v>
          </cell>
        </row>
        <row r="25">
          <cell r="B25" t="str">
            <v>2023年度珠海市高新区老旧小区改造提升工程</v>
          </cell>
          <cell r="C25" t="str">
            <v>区住房城乡建设局</v>
          </cell>
          <cell r="D25" t="str">
            <v>区公建中心</v>
          </cell>
          <cell r="E25" t="str">
            <v>龙珠花园、丁婶花园、 唐家花园、唐家乐园、唐家供水楼等个城镇老旧小区改造工程。5个城镇老旧小区改造工程。建设内容：
1.建筑本体修缮：楼梯和公共空间修缮；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v>
          </cell>
          <cell r="F25">
            <v>2376.09</v>
          </cell>
          <cell r="G25" t="str">
            <v>2023-2024</v>
          </cell>
          <cell r="H25" t="str">
            <v>续建</v>
          </cell>
          <cell r="I25" t="str">
            <v>珠高发投审【2023】12号</v>
          </cell>
          <cell r="J25">
            <v>2376.09</v>
          </cell>
          <cell r="K25">
            <v>1250</v>
          </cell>
          <cell r="L25">
            <v>1000</v>
          </cell>
          <cell r="M25">
            <v>1000</v>
          </cell>
          <cell r="N25">
            <v>0</v>
          </cell>
        </row>
        <row r="26">
          <cell r="B26" t="str">
            <v>珠海市高新区湾区智造 AI 产业创新中心片区配套基础设施新建工程</v>
          </cell>
          <cell r="C26" t="str">
            <v>区住房城乡建设局</v>
          </cell>
          <cell r="D26" t="str">
            <v>高新基建</v>
          </cell>
          <cell r="E26" t="str">
            <v>建设内容包括一条排洪渠新建工程；金鸿六路以东、岐关路以南地块土地平整工程；五条道路基础设施：金鸿四路（岐关路-金唐西路段）、金鸿五路（岐关路-金唐西路段）、金鸿七路（岐关路-金唐西路段）、金品二路（岐关路-金鼎西路段）。</v>
          </cell>
          <cell r="F26">
            <v>13468.29</v>
          </cell>
          <cell r="G26" t="str">
            <v>2022-2024</v>
          </cell>
          <cell r="H26" t="str">
            <v>续建</v>
          </cell>
          <cell r="I26" t="str">
            <v>珠高发投审〔2022〕42号</v>
          </cell>
          <cell r="J26">
            <v>13468.29</v>
          </cell>
          <cell r="K26">
            <v>1215</v>
          </cell>
          <cell r="L26">
            <v>1208.6</v>
          </cell>
          <cell r="M26">
            <v>1208.6</v>
          </cell>
          <cell r="N26">
            <v>0</v>
          </cell>
        </row>
        <row r="27">
          <cell r="B27" t="str">
            <v>二线公路外5处裸露山体复绿工程</v>
          </cell>
          <cell r="C27" t="str">
            <v>区住房城乡建设局</v>
          </cell>
          <cell r="D27" t="str">
            <v>高华城资</v>
          </cell>
          <cell r="E27" t="str">
            <v>项目面积约55.24公顷，包含清理坡面、客土喷播、挡土堤、截水沟、排水沟、种植乔木、种植灌木等内容。</v>
          </cell>
          <cell r="F27">
            <v>4499.17</v>
          </cell>
          <cell r="G27" t="str">
            <v>2021-2025</v>
          </cell>
          <cell r="H27" t="str">
            <v>续建</v>
          </cell>
          <cell r="I27" t="str">
            <v>珠高发投审〔2022〕56号</v>
          </cell>
          <cell r="J27">
            <v>4499.17</v>
          </cell>
          <cell r="K27">
            <v>1020</v>
          </cell>
          <cell r="L27">
            <v>850</v>
          </cell>
          <cell r="M27">
            <v>850</v>
          </cell>
          <cell r="N27">
            <v>0</v>
          </cell>
        </row>
        <row r="28">
          <cell r="B28" t="str">
            <v>金凤渠（南围段）东侧道路工程</v>
          </cell>
          <cell r="C28" t="str">
            <v>区住房城乡建设局</v>
          </cell>
          <cell r="D28" t="str">
            <v>交通集团</v>
          </cell>
          <cell r="E28" t="str">
            <v>项目位于珠海高新区金凤渠东侧，主要工程内容为新建三条市政道路，道路设计总长约2507米，其中科技一路至科技二路设计长度约490米，道路红线宽度为12米，道路等级为城市支路；科技二路至南围海堤设计长度约1375米，道路红线宽度为30米，道路等级为次干路；创意中路金凤渠桥梁设计长度约为307米，道路红线宽度为34米，道路等级为城市主干路。金凤北路设计长度约为336米，道路红线宽度规划为52米，道路等级为主干路。</v>
          </cell>
          <cell r="F28">
            <v>17466.62</v>
          </cell>
          <cell r="G28" t="str">
            <v>2021-2024</v>
          </cell>
          <cell r="H28" t="str">
            <v>续建</v>
          </cell>
          <cell r="I28" t="str">
            <v>珠高发投审〔 2020〕39号</v>
          </cell>
          <cell r="J28">
            <v>17466.62</v>
          </cell>
          <cell r="K28">
            <v>800</v>
          </cell>
          <cell r="L28">
            <v>600</v>
          </cell>
          <cell r="M28">
            <v>600</v>
          </cell>
          <cell r="N28">
            <v>0</v>
          </cell>
        </row>
        <row r="29">
          <cell r="B29" t="str">
            <v>珠海市高新区京珠西B组团配套市政基础设施新建工程</v>
          </cell>
          <cell r="C29" t="str">
            <v>区住房城乡建设局</v>
          </cell>
          <cell r="D29" t="str">
            <v>高新基建</v>
          </cell>
          <cell r="E29" t="str">
            <v>本片区位于中珠排洪渠与金鼎东路交界北侧，地块总面积约40ha，建设内容包括5条道路（2.19km)及场地平整。</v>
          </cell>
          <cell r="F29">
            <v>7013.32</v>
          </cell>
          <cell r="G29" t="str">
            <v>2022-2024</v>
          </cell>
          <cell r="H29" t="str">
            <v>续建</v>
          </cell>
          <cell r="I29" t="str">
            <v>珠高发投审〔2022〕34号</v>
          </cell>
          <cell r="J29">
            <v>2131.49</v>
          </cell>
          <cell r="K29">
            <v>140</v>
          </cell>
          <cell r="L29">
            <v>120</v>
          </cell>
          <cell r="M29">
            <v>120</v>
          </cell>
          <cell r="N29">
            <v>0</v>
          </cell>
        </row>
        <row r="30">
          <cell r="B30" t="str">
            <v>高新区前环3号排洪渠及周边配套市政建设工程</v>
          </cell>
          <cell r="C30" t="str">
            <v>区住房城乡建设局</v>
          </cell>
          <cell r="D30" t="str">
            <v>区公建中心</v>
          </cell>
          <cell r="E30" t="str">
            <v>本项目建设内容包含前环3号排洪渠、截洪沟、水闸、调蓄湖、碧道及其他配套市政工程等，改造3号排洪渠断面尺寸3.0~7.0m（渠底宽）×3.0m，采用梯形断面形式，生态植草坡面，渠道纵坡为0.5‰~3.6‰，设计长度约为1.5km；新建大海饲料厂过路单孔箱涵一处，断面尺寸1-5.0m×2.0m，长度约15m；渠道末端下穿情侣北路及海堤新建双孔箱涵，断面尺寸2-5.0m×3.0m，长度约77m，涵前新建单孔水闸宽8m，设计闸底标高-0.30m，设计过闸流量31.6m³/s；新建环石坑山新建截洪沟长度约337m，断面尺寸2.5m×1.5m；改造现状调蓄湖一处面积约1.5ha，调蓄容积约 2.7万m³。</v>
          </cell>
          <cell r="F30">
            <v>3839.58</v>
          </cell>
          <cell r="G30" t="str">
            <v>2022-2023</v>
          </cell>
          <cell r="H30" t="str">
            <v>续建</v>
          </cell>
          <cell r="I30" t="str">
            <v>珠发高投〔2022〕68号</v>
          </cell>
          <cell r="J30">
            <v>3789.58</v>
          </cell>
          <cell r="K30">
            <v>50</v>
          </cell>
          <cell r="L30">
            <v>1100</v>
          </cell>
          <cell r="M30">
            <v>1100</v>
          </cell>
          <cell r="N30">
            <v>0</v>
          </cell>
        </row>
        <row r="31">
          <cell r="B31" t="str">
            <v>高新区正坑、潭井、佛迳水库除险加固工程</v>
          </cell>
          <cell r="C31" t="str">
            <v>区住房城乡建设局</v>
          </cell>
          <cell r="D31" t="str">
            <v>区公建中心</v>
          </cell>
          <cell r="E31" t="str">
            <v>对正坑、潭井、佛迳水库进行坝体加固及清淤。</v>
          </cell>
          <cell r="F31">
            <v>1268.36</v>
          </cell>
          <cell r="G31" t="str">
            <v>2022-2023</v>
          </cell>
          <cell r="H31" t="str">
            <v>续建</v>
          </cell>
          <cell r="I31" t="str">
            <v>珠高发投审〔2023〕7号</v>
          </cell>
          <cell r="J31">
            <v>1268.36</v>
          </cell>
          <cell r="K31">
            <v>50</v>
          </cell>
          <cell r="L31">
            <v>300</v>
          </cell>
          <cell r="M31">
            <v>300</v>
          </cell>
          <cell r="N31">
            <v>0</v>
          </cell>
        </row>
        <row r="32">
          <cell r="B32" t="str">
            <v>珠海高新区人民医院北围院区新建工程（一期）</v>
          </cell>
          <cell r="C32" t="str">
            <v>区社会事业局</v>
          </cell>
          <cell r="D32" t="str">
            <v>高新建投</v>
          </cell>
          <cell r="E32" t="str">
            <v>项目位于珠海市高新区北围片区新湾八路西、新沙六路北侧。本项目按照1000张床位规模规划建设，占地面积为57009.82㎡，总建筑面积为203530.68㎡，地上建筑面积为123060.00㎡，地下建筑面积为80470.68㎡。主要建设内容包括新建1栋门急诊医技住院综合楼、1栋健康管理中心及科研行政综合楼、液氧站、污水处理站、地下室、配套公用工程、室外工程等。</v>
          </cell>
          <cell r="F32">
            <v>178973.23</v>
          </cell>
          <cell r="G32" t="str">
            <v>2022-2026</v>
          </cell>
          <cell r="H32" t="str">
            <v>续建</v>
          </cell>
          <cell r="I32" t="str">
            <v>珠高发投审〔2023〕13号</v>
          </cell>
          <cell r="J32">
            <v>70299.06</v>
          </cell>
          <cell r="K32">
            <v>69581.1764705882</v>
          </cell>
          <cell r="L32">
            <v>59144</v>
          </cell>
          <cell r="M32">
            <v>59144</v>
          </cell>
          <cell r="N32">
            <v>0</v>
          </cell>
          <cell r="O32">
            <v>45572</v>
          </cell>
          <cell r="P32">
            <v>13572</v>
          </cell>
        </row>
        <row r="33">
          <cell r="B33" t="str">
            <v>珠海高新区东岸中学及景阳小学配套设施建设工程</v>
          </cell>
          <cell r="C33" t="str">
            <v>区社会事业局</v>
          </cell>
          <cell r="D33" t="str">
            <v>区公建中心</v>
          </cell>
          <cell r="E33" t="str">
            <v>本工程位于珠海市高新区科技四路北侧、万科红树东岸西侧，项目占地面积约42,756.89平方米，总建筑面积约39679.29平方米。工程内容包括基坑支护工程、土建工程（含基础、 结构、建筑等）、人防工程、安装工程（含给排水、电气、智能化、消防、通风等）、电梯工程、抗震支架工、室外工程（含景观、绿化、道路、围墙、室外电器、室外给排水等）、海绵城市等。</v>
          </cell>
          <cell r="F33">
            <v>21559.66</v>
          </cell>
          <cell r="G33" t="str">
            <v>2022-2024</v>
          </cell>
          <cell r="H33" t="str">
            <v>续建</v>
          </cell>
          <cell r="I33" t="str">
            <v>珠高发投审〔2022〕10号</v>
          </cell>
          <cell r="J33">
            <v>21559.66</v>
          </cell>
          <cell r="K33">
            <v>6000</v>
          </cell>
          <cell r="L33">
            <v>7000</v>
          </cell>
          <cell r="M33">
            <v>7000</v>
          </cell>
          <cell r="N33">
            <v>0</v>
          </cell>
          <cell r="O33">
            <v>4800</v>
          </cell>
          <cell r="P33">
            <v>2200</v>
          </cell>
        </row>
        <row r="34">
          <cell r="B34" t="str">
            <v>珠海高新区海怡湾畔小学及配套市民停车场新建工程</v>
          </cell>
          <cell r="C34" t="str">
            <v>区社会事业局</v>
          </cell>
          <cell r="D34" t="str">
            <v>区公建中心</v>
          </cell>
          <cell r="E34" t="str">
            <v>项目规划暂定用地面积：13232.83平方米，建设规模为24班完全小学，提供1080个小学学位。项目总建筑面积约为27499.50平方米,其中地上建筑面积18532.25平方米，主要功能包括教学楼、体育馆及配套设施综合楼；地下室建筑面积8967.25平方米，主要功能包括人防地下车库、消防水池及水泵房等。</v>
          </cell>
          <cell r="F34">
            <v>16751</v>
          </cell>
          <cell r="G34" t="str">
            <v>2021-2024</v>
          </cell>
          <cell r="H34" t="str">
            <v>续建</v>
          </cell>
          <cell r="I34" t="str">
            <v>珠高发投审〔2022〕16号</v>
          </cell>
          <cell r="J34">
            <v>16751</v>
          </cell>
          <cell r="K34">
            <v>2000</v>
          </cell>
          <cell r="L34">
            <v>2600</v>
          </cell>
          <cell r="M34">
            <v>2600</v>
          </cell>
          <cell r="N34">
            <v>0</v>
          </cell>
          <cell r="O34">
            <v>1600</v>
          </cell>
          <cell r="P34">
            <v>1000</v>
          </cell>
        </row>
        <row r="35">
          <cell r="B35" t="str">
            <v>珠海高新区北沙片区幼儿园新建工程</v>
          </cell>
          <cell r="C35" t="str">
            <v>区社会事业局</v>
          </cell>
          <cell r="D35" t="str">
            <v>九洲建投</v>
          </cell>
          <cell r="E35" t="str">
            <v>项目建设用地面积5178平方米，建设内容为建设1所15班规范化幼儿园，可提供450个学位。建设内容包括教学综合楼、室外运动场地等。</v>
          </cell>
          <cell r="F35">
            <v>5562.55</v>
          </cell>
          <cell r="G35" t="str">
            <v>2023-2024</v>
          </cell>
          <cell r="H35" t="str">
            <v>续建</v>
          </cell>
          <cell r="I35" t="str">
            <v>珠高发投审[2022]58号</v>
          </cell>
          <cell r="J35">
            <v>5562.55</v>
          </cell>
          <cell r="K35">
            <v>782</v>
          </cell>
          <cell r="L35">
            <v>1000</v>
          </cell>
          <cell r="M35">
            <v>1000</v>
          </cell>
          <cell r="N35">
            <v>0</v>
          </cell>
          <cell r="O35">
            <v>0</v>
          </cell>
          <cell r="P35">
            <v>1000</v>
          </cell>
        </row>
        <row r="36">
          <cell r="B36" t="str">
            <v>珠海高新区那洲片区幼儿园新建工程</v>
          </cell>
          <cell r="C36" t="str">
            <v>区社会事业局</v>
          </cell>
          <cell r="D36" t="str">
            <v>九洲建投</v>
          </cell>
          <cell r="E36" t="str">
            <v>项目建设用地面积5000平方米，建设内容为建设1所15班规范化幼儿园，可提供450个学位。建设内容包括教学综合楼、室外运动场地等。</v>
          </cell>
          <cell r="F36">
            <v>5499.62</v>
          </cell>
          <cell r="G36" t="str">
            <v>2023-2024</v>
          </cell>
          <cell r="H36" t="str">
            <v>续建</v>
          </cell>
          <cell r="I36" t="str">
            <v>珠高发投审[2022]57号</v>
          </cell>
          <cell r="J36">
            <v>5499.62</v>
          </cell>
          <cell r="K36">
            <v>779</v>
          </cell>
          <cell r="L36">
            <v>1000</v>
          </cell>
          <cell r="M36">
            <v>1000</v>
          </cell>
          <cell r="N36">
            <v>0</v>
          </cell>
          <cell r="O36">
            <v>0</v>
          </cell>
          <cell r="P36">
            <v>1000</v>
          </cell>
        </row>
        <row r="37">
          <cell r="B37" t="str">
            <v>珠海市人民医院医疗集团高新医院（珠海高新区人民医院）信息化建设项目</v>
          </cell>
          <cell r="C37" t="str">
            <v>区社会事业局</v>
          </cell>
          <cell r="D37" t="str">
            <v>区社会事业局/区人民医院</v>
          </cell>
          <cell r="E37" t="str">
            <v>本工程位于珠海市高新区，项目建设内容涵盖就医服务、临床诊疗、临床护理、药事管理、医技业务、医疗管理和数据中心、网络系统、信息安全系统等配套基础设施。以信息平台建设为基础，搭建临床数据中心和运营数据中心，构建以诊疗为主线、电子病历为核心、患者服务为中心的医院信息化系统，推动移动护理、移动查房、电子签名无纸化管理等系统的运用，实现系统间的互联互通，实现临床数据和运营数据的应用。通过本项目医院整体信息化可达到 80%以上覆盖率的建设规模,基本建成智慧服务、智慧医疗、智慧管理“三位一体”的智慧医院信息化系统。</v>
          </cell>
          <cell r="F37">
            <v>1605.89</v>
          </cell>
          <cell r="G37" t="str">
            <v>2023-2025</v>
          </cell>
          <cell r="H37" t="str">
            <v>续建</v>
          </cell>
          <cell r="I37" t="str">
            <v>珠高发投审〔2023〕8号</v>
          </cell>
          <cell r="J37">
            <v>957.815</v>
          </cell>
          <cell r="K37">
            <v>482.3</v>
          </cell>
          <cell r="L37">
            <v>482.3</v>
          </cell>
          <cell r="M37">
            <v>482.3</v>
          </cell>
          <cell r="N37">
            <v>0</v>
          </cell>
          <cell r="O37">
            <v>206.7</v>
          </cell>
          <cell r="P37">
            <v>275.6</v>
          </cell>
        </row>
        <row r="38">
          <cell r="B38" t="str">
            <v>卢氏孖祠修缮工程</v>
          </cell>
          <cell r="C38" t="str">
            <v>区社会事业局</v>
          </cell>
          <cell r="D38" t="str">
            <v>高新基建</v>
          </cell>
          <cell r="E38" t="str">
            <v>卢氏孖祠主座地面、墙壁、屋顶修缮。</v>
          </cell>
          <cell r="F38">
            <v>458.34</v>
          </cell>
          <cell r="G38" t="str">
            <v>2022-2024</v>
          </cell>
          <cell r="H38" t="str">
            <v>续建</v>
          </cell>
          <cell r="I38" t="str">
            <v>珠高发投〔2023〕27号</v>
          </cell>
          <cell r="J38">
            <v>458.34</v>
          </cell>
          <cell r="K38">
            <v>440</v>
          </cell>
          <cell r="L38">
            <v>375.43</v>
          </cell>
          <cell r="M38">
            <v>375.43</v>
          </cell>
          <cell r="N38">
            <v>0</v>
          </cell>
          <cell r="O38">
            <v>374</v>
          </cell>
          <cell r="P38">
            <v>1</v>
          </cell>
        </row>
        <row r="39">
          <cell r="B39" t="str">
            <v>珠海市高新区不可移动文物（上栅那洲片区）修缮项目</v>
          </cell>
          <cell r="C39" t="str">
            <v>区社会事业局</v>
          </cell>
          <cell r="D39" t="str">
            <v>高新基建</v>
          </cell>
          <cell r="E39" t="str">
            <v>本工程主要对上栅那洲片区的不可移动文物：上栅易初卢公祠、那洲炮楼、清晓古公祠（详见下表）进行修缮。文物本体面积合共约1400平方米。包括但不限于墙体、地面、屋面、木构件、石作构件、砖作构件、灰塑。本项目总投资约863万。</v>
          </cell>
          <cell r="F39">
            <v>459.22</v>
          </cell>
          <cell r="G39" t="str">
            <v>2022-2023</v>
          </cell>
          <cell r="H39" t="str">
            <v>续建</v>
          </cell>
          <cell r="I39" t="str">
            <v>珠高发投[2023]15号</v>
          </cell>
          <cell r="J39">
            <v>379.3</v>
          </cell>
          <cell r="K39">
            <v>340</v>
          </cell>
          <cell r="L39">
            <v>288.24</v>
          </cell>
          <cell r="M39">
            <v>288.24</v>
          </cell>
          <cell r="N39">
            <v>0</v>
          </cell>
          <cell r="O39">
            <v>286.5</v>
          </cell>
          <cell r="P39">
            <v>1.5</v>
          </cell>
        </row>
        <row r="40">
          <cell r="B40" t="str">
            <v>珠海市高新区不可移动文物（唐家鸡山淇澳片区）修缮项目</v>
          </cell>
          <cell r="C40" t="str">
            <v>区社会事业局</v>
          </cell>
          <cell r="D40" t="str">
            <v>高新基建</v>
          </cell>
          <cell r="E40" t="str">
            <v>对唐家鸡山淇澳片区的不可移动文物：翠屏唐公祠、月奇梁公祠、淇澳文昌宫、唐家龙岗古庙、佩玉梁公祠、鸡山武侯庙、唐家古围墙进行修缮。文物本体面积合共约1380平方米。对文物本体的墙面、屋面、地面、木石作构件、灰塑构件进行修缮。</v>
          </cell>
          <cell r="F40">
            <v>767.72</v>
          </cell>
          <cell r="G40" t="str">
            <v>2022-2023</v>
          </cell>
          <cell r="H40" t="str">
            <v>续建</v>
          </cell>
          <cell r="I40" t="str">
            <v>珠高发投[2023]16号</v>
          </cell>
          <cell r="J40">
            <v>622.1</v>
          </cell>
          <cell r="K40">
            <v>322.1</v>
          </cell>
          <cell r="L40">
            <v>271.94</v>
          </cell>
          <cell r="M40">
            <v>271.94</v>
          </cell>
          <cell r="N40">
            <v>0</v>
          </cell>
          <cell r="O40">
            <v>270</v>
          </cell>
          <cell r="P40">
            <v>2</v>
          </cell>
        </row>
        <row r="41">
          <cell r="B41" t="str">
            <v>珠海市高新区AI产业创新中心片区标准厂房项目</v>
          </cell>
          <cell r="C41" t="str">
            <v>区科技产业局</v>
          </cell>
          <cell r="D41" t="str">
            <v>高新基建</v>
          </cell>
          <cell r="E41" t="str">
            <v>项目占地面积为152273.54㎡，总建筑面积为570334.34㎡。其中，地上建筑面积为475342.76平方米，地下建筑面积为94991.58平方米。工程建设包含5栋生物制药厂房，2栋高标准厂房，3栋医疗器械厂房，8栋研发厂房，1栋甲类库房，1栋废水处理站，其中 1、2、4 号地块带地下室，3号地块无地下室。项目主要建设内容包括厂房、宿舍及食堂、开关房等，项目以生物医药、医疗器械产业为核心，建成后主要用于智能医疗器 械设备、生物医药、生物制剂等产品的生产。</v>
          </cell>
          <cell r="F41">
            <v>214880</v>
          </cell>
          <cell r="G41" t="str">
            <v>2022-2024</v>
          </cell>
          <cell r="H41" t="str">
            <v>续建</v>
          </cell>
          <cell r="I41" t="str">
            <v>珠高发投审[2022]63号</v>
          </cell>
          <cell r="J41">
            <v>214880</v>
          </cell>
          <cell r="K41">
            <v>35696</v>
          </cell>
          <cell r="L41">
            <v>42793.495425</v>
          </cell>
          <cell r="M41">
            <v>42793.495425</v>
          </cell>
          <cell r="N41">
            <v>0</v>
          </cell>
        </row>
        <row r="42">
          <cell r="B42" t="str">
            <v>珠海市高新区淇澳岛中心河排洪渠项目改建工程</v>
          </cell>
          <cell r="C42" t="str">
            <v>唐家湾镇政府</v>
          </cell>
          <cell r="D42" t="str">
            <v>高新基建</v>
          </cell>
          <cell r="E42" t="str">
            <v>本项目位于珠海市高新区淇澳岛，总长度约1.17km。主要建设内容包含：照明工程、绿化工程、支护工程等。</v>
          </cell>
          <cell r="F42">
            <v>3680</v>
          </cell>
          <cell r="G42" t="str">
            <v>2022-2023</v>
          </cell>
          <cell r="H42" t="str">
            <v>续建</v>
          </cell>
          <cell r="I42" t="str">
            <v>珠高发投审〔2023〕6号</v>
          </cell>
          <cell r="J42">
            <v>2595.325</v>
          </cell>
          <cell r="K42">
            <v>1500</v>
          </cell>
          <cell r="L42">
            <v>1200</v>
          </cell>
          <cell r="M42">
            <v>1200</v>
          </cell>
          <cell r="N42">
            <v>0</v>
          </cell>
        </row>
        <row r="43">
          <cell r="B43" t="str">
            <v>珠海市高新区实景三维数据建设项目</v>
          </cell>
          <cell r="C43" t="str">
            <v>区党政办（政数局）</v>
          </cell>
          <cell r="D43" t="str">
            <v>区党政办（政数局）</v>
          </cell>
          <cell r="E43" t="str">
            <v>建成基础数据库，构建城市数字底座与数据呈现工具，具体可概括为：
（1）通过收集、整理高新区三维数据等城市信息，全力推进珠海高新区覆盖约175平方公里的城市实景三维成果，模型精度整体优于5cm，重点区域优于3cm，实现高新区实景三维模型全覆盖，满足城市各类智慧应用对实景三维数据的需求。
（2）建设数据呈现工具，嵌入时空信息管理平台，构建城市数字底座，形成面向政府部门、内容全面、更新及时、权威准确的城市基础信息平台。
实现高新区实景三维模型全覆盖，满足城市各类智慧应用对实景三维数据的需求。</v>
          </cell>
          <cell r="F43">
            <v>663.11</v>
          </cell>
          <cell r="G43" t="str">
            <v>2023-2024</v>
          </cell>
          <cell r="H43" t="str">
            <v>续建</v>
          </cell>
          <cell r="I43" t="str">
            <v>/</v>
          </cell>
          <cell r="J43">
            <v>600.624</v>
          </cell>
          <cell r="K43">
            <v>404.266</v>
          </cell>
          <cell r="L43">
            <v>404.266</v>
          </cell>
          <cell r="M43">
            <v>404.266</v>
          </cell>
          <cell r="N43">
            <v>0</v>
          </cell>
        </row>
      </sheetData>
      <sheetData sheetId="2">
        <row r="3">
          <cell r="M3" t="str">
            <v>单位：万元</v>
          </cell>
        </row>
        <row r="4">
          <cell r="B4" t="str">
            <v>项目名称</v>
          </cell>
          <cell r="C4" t="str">
            <v>牵头责任单位</v>
          </cell>
          <cell r="D4" t="str">
            <v>建设
单位</v>
          </cell>
          <cell r="E4" t="str">
            <v>建设内容及规模</v>
          </cell>
          <cell r="F4" t="str">
            <v>总投资</v>
          </cell>
          <cell r="G4" t="str">
            <v>建设起止年限</v>
          </cell>
          <cell r="H4" t="str">
            <v>建设性质</v>
          </cell>
          <cell r="I4" t="str">
            <v>立项批复文号</v>
          </cell>
          <cell r="J4" t="str">
            <v>预计累计至2024年底完成投资额</v>
          </cell>
          <cell r="K4" t="str">
            <v>投资计划</v>
          </cell>
          <cell r="L4" t="str">
            <v>资金计划</v>
          </cell>
        </row>
        <row r="4">
          <cell r="O4" t="str">
            <v>上半年资金计划</v>
          </cell>
          <cell r="P4" t="str">
            <v>下半年资金计划</v>
          </cell>
        </row>
        <row r="5">
          <cell r="L5" t="str">
            <v>合计</v>
          </cell>
          <cell r="M5" t="str">
            <v>区财政</v>
          </cell>
          <cell r="N5" t="str">
            <v>其他</v>
          </cell>
        </row>
        <row r="6">
          <cell r="B6" t="str">
            <v>2</v>
          </cell>
          <cell r="C6" t="str">
            <v>3</v>
          </cell>
          <cell r="D6" t="str">
            <v>4</v>
          </cell>
          <cell r="E6" t="str">
            <v>5</v>
          </cell>
          <cell r="F6" t="str">
            <v>6</v>
          </cell>
          <cell r="G6" t="str">
            <v>7</v>
          </cell>
          <cell r="H6" t="str">
            <v>8</v>
          </cell>
          <cell r="I6" t="str">
            <v>9</v>
          </cell>
          <cell r="J6" t="str">
            <v>10</v>
          </cell>
          <cell r="K6" t="str">
            <v>11</v>
          </cell>
          <cell r="L6" t="str">
            <v>12</v>
          </cell>
          <cell r="M6" t="str">
            <v>13</v>
          </cell>
          <cell r="N6" t="str">
            <v>14</v>
          </cell>
          <cell r="O6" t="str">
            <v>15</v>
          </cell>
          <cell r="P6" t="str">
            <v>16</v>
          </cell>
        </row>
        <row r="7">
          <cell r="F7">
            <v>149410.05</v>
          </cell>
        </row>
        <row r="7">
          <cell r="J7">
            <v>84533.61</v>
          </cell>
          <cell r="K7">
            <v>77158.9811764706</v>
          </cell>
          <cell r="L7">
            <v>65632.5</v>
          </cell>
          <cell r="M7">
            <v>47632.5</v>
          </cell>
          <cell r="N7">
            <v>18000</v>
          </cell>
        </row>
        <row r="8">
          <cell r="B8" t="str">
            <v>珠海市高新区金珠路东侧保障性租赁住房新建工程</v>
          </cell>
          <cell r="C8" t="str">
            <v>区住房城乡建设局</v>
          </cell>
          <cell r="D8" t="str">
            <v>高新基建</v>
          </cell>
          <cell r="E8" t="str">
            <v>项目位于珠海市高新区南围片区中珠渠南路南侧、金珠路东侧。用地面积约7351㎡，总建筑面积30059.96平方米，计容建筑面积22053㎡。拟建设邻里中心及保障性租赁住房。</v>
          </cell>
          <cell r="F8">
            <v>17848.36</v>
          </cell>
          <cell r="G8" t="str">
            <v>2023-2025</v>
          </cell>
          <cell r="H8" t="str">
            <v>新建</v>
          </cell>
          <cell r="I8" t="str">
            <v>/</v>
          </cell>
          <cell r="J8">
            <v>11000</v>
          </cell>
          <cell r="K8">
            <v>10500</v>
          </cell>
          <cell r="L8">
            <v>9900</v>
          </cell>
          <cell r="M8">
            <v>9900</v>
          </cell>
          <cell r="N8">
            <v>0</v>
          </cell>
        </row>
        <row r="9">
          <cell r="B9" t="str">
            <v>高新区水环境综合整治2.0项目（第二批）</v>
          </cell>
          <cell r="C9" t="str">
            <v>区住房城乡建设局</v>
          </cell>
          <cell r="D9" t="str">
            <v>交通集团</v>
          </cell>
          <cell r="E9" t="str">
            <v>高新区水环境综合整治2.0项目（第二批）建设内容包括正本清源和排洪渠工程。其中，正本清源工程包括上下北村、下栅下村、罗村、幸村、外沙村、上栅村等旧村的雨污分流和山水入流整治工程。排洪渠工程包括谭井排渠改建工程和佛迳排洪渠改建工程。谭井排渠改建工程，设计起于西部沿海高速，终至佳能排洪渠，设计长度约1.1km，防洪标准为100年一遇；佛迳排洪渠改建工程，设计起于西部沿海高速，终至中珠排洪渠，设计长度约1.03km，防洪标准为100年一遇。</v>
          </cell>
          <cell r="F9">
            <v>23842.08</v>
          </cell>
          <cell r="G9" t="str">
            <v>2024-2025</v>
          </cell>
          <cell r="H9" t="str">
            <v>新建</v>
          </cell>
          <cell r="I9" t="str">
            <v>\</v>
          </cell>
          <cell r="J9">
            <v>5000</v>
          </cell>
          <cell r="K9">
            <v>5000</v>
          </cell>
          <cell r="L9">
            <v>4000</v>
          </cell>
          <cell r="M9">
            <v>4000</v>
          </cell>
          <cell r="N9">
            <v>0</v>
          </cell>
        </row>
        <row r="10">
          <cell r="B10" t="str">
            <v>高新区智慧环保工程</v>
          </cell>
          <cell r="C10" t="str">
            <v>区住房城乡建设局</v>
          </cell>
          <cell r="D10" t="str">
            <v>高华城资</v>
          </cell>
          <cell r="E10" t="str">
            <v>1.大气环境智慧在线监测：VOCs在线监测设备99套，恶臭异味在线监测设备12套，气象仪3台，走航监测车1辆等；
2.重点监控企业废水在线监测：集成式水质在线监测站7套；
3.AI视频项目:在辖区域内黑烟、扬尘、河涌及排放口等污染防控点位布置AI识别摄像头；
4.无人机配套采购服务；
5.一套智慧环保平台。</v>
          </cell>
          <cell r="F10">
            <v>4627.57</v>
          </cell>
          <cell r="G10" t="str">
            <v>2023-2025</v>
          </cell>
          <cell r="H10" t="str">
            <v>新建</v>
          </cell>
          <cell r="I10" t="str">
            <v>/</v>
          </cell>
          <cell r="J10">
            <v>4627.57</v>
          </cell>
          <cell r="K10">
            <v>3300</v>
          </cell>
          <cell r="L10">
            <v>2500</v>
          </cell>
          <cell r="M10">
            <v>2500</v>
          </cell>
          <cell r="N10">
            <v>0</v>
          </cell>
        </row>
        <row r="11">
          <cell r="B11" t="str">
            <v>向海一路、创意南路( 裕华聚酯段) 和裕华路北段部分建设工程</v>
          </cell>
          <cell r="C11" t="str">
            <v>区住房城乡建设局</v>
          </cell>
          <cell r="D11" t="str">
            <v>珠海华昕开发建设有限公司</v>
          </cell>
          <cell r="E11" t="str">
            <v>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项目总投资约18021万元（最终以财局审核为准），其中建安费（含电力迁改建安费）14063万元、工程建设其他费1690万元、预备费790万元、乔木迁改28万元、通信管线迁改费450万元，征拆补偿费1000万元。</v>
          </cell>
          <cell r="F11">
            <v>18021</v>
          </cell>
          <cell r="G11" t="str">
            <v>2024-2025</v>
          </cell>
          <cell r="H11" t="str">
            <v>新建</v>
          </cell>
          <cell r="I11" t="str">
            <v>/</v>
          </cell>
          <cell r="J11">
            <v>3000</v>
          </cell>
          <cell r="K11">
            <v>3000</v>
          </cell>
          <cell r="L11">
            <v>2400</v>
          </cell>
          <cell r="M11">
            <v>2400</v>
          </cell>
          <cell r="N11">
            <v>0</v>
          </cell>
        </row>
        <row r="12">
          <cell r="B12" t="str">
            <v>高新区金唐西路北侧、官塘村西侧地块区域整治工程</v>
          </cell>
          <cell r="C12" t="str">
            <v>区住房城乡建设局</v>
          </cell>
          <cell r="D12" t="str">
            <v>高新基建</v>
          </cell>
          <cell r="E12" t="str">
            <v>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v>
          </cell>
          <cell r="F12">
            <v>3084.9</v>
          </cell>
          <cell r="G12" t="str">
            <v>2023-2024</v>
          </cell>
          <cell r="H12" t="str">
            <v>新建</v>
          </cell>
          <cell r="I12" t="str">
            <v>/</v>
          </cell>
          <cell r="J12">
            <v>2850</v>
          </cell>
          <cell r="K12">
            <v>2850</v>
          </cell>
          <cell r="L12">
            <v>2422.5</v>
          </cell>
          <cell r="M12">
            <v>2422.5</v>
          </cell>
          <cell r="N12">
            <v>0</v>
          </cell>
        </row>
        <row r="13">
          <cell r="B13" t="str">
            <v>珠海市高新区新一代信息技术产业园基础设施配套新建工程（一期）</v>
          </cell>
          <cell r="C13" t="str">
            <v>区住房城乡建设局</v>
          </cell>
          <cell r="D13" t="str">
            <v>高新基建</v>
          </cell>
          <cell r="E13" t="str">
            <v>本工程位于珠海市高新区金鼎片区，包括四条市政道路及配套基础设施：金鼎西路（金环路~横二路）为主干路，红线宽度为34m，双向四车道；金鼎中路（金环路~横二路）为次干路，红线宽度为34m，双向四车道；纵一路（金环路~横二路）为支路，红线宽度为20m，双向四车道；横二路（金鼎西路~上下北村）为支路，红线宽度为20m，双向两车道。以及一个地块的场地平整。建设内容包括：道路工程、给水工程、雨水工程、污水工程、预留沟工程、电缆沟工程、通信管沟工程、燃气工程、桥涵工程、照明工程、景观工程、交通设施、安监设施及场平工程。</v>
          </cell>
          <cell r="F13">
            <v>3485</v>
          </cell>
          <cell r="G13" t="str">
            <v>2024-2025</v>
          </cell>
          <cell r="H13" t="str">
            <v>新建</v>
          </cell>
          <cell r="I13" t="str">
            <v>/</v>
          </cell>
          <cell r="J13">
            <v>2000</v>
          </cell>
          <cell r="K13">
            <v>2000</v>
          </cell>
          <cell r="L13">
            <v>1700</v>
          </cell>
          <cell r="M13">
            <v>1700</v>
          </cell>
          <cell r="N13">
            <v>0</v>
          </cell>
        </row>
        <row r="14">
          <cell r="B14" t="str">
            <v>珠海市高新区中山东部外环（二期）南延段管线迁改工程</v>
          </cell>
          <cell r="C14" t="str">
            <v>区住房城乡建设局</v>
          </cell>
          <cell r="D14" t="str">
            <v>珠海华昕开发建设有限公司</v>
          </cell>
          <cell r="E14" t="str">
            <v>项目实施内容结合中山东部外环（二期）南延段设计范围（中珠渠以南），对受桥墩影响的管线进行迁改，主要包括给水管线、电力、通信、国防光缆等迁改工程以及配套附属设施（人行道及绿化拆除恢复）等。</v>
          </cell>
          <cell r="F14">
            <v>3000</v>
          </cell>
          <cell r="G14" t="str">
            <v>2024-2025</v>
          </cell>
          <cell r="H14" t="str">
            <v>新建</v>
          </cell>
          <cell r="I14" t="str">
            <v>/</v>
          </cell>
          <cell r="J14">
            <v>1000</v>
          </cell>
          <cell r="K14">
            <v>1000</v>
          </cell>
          <cell r="L14">
            <v>800</v>
          </cell>
          <cell r="M14">
            <v>800</v>
          </cell>
          <cell r="N14">
            <v>0</v>
          </cell>
        </row>
        <row r="15">
          <cell r="B15" t="str">
            <v>珠海市高新区六组排洪渠（人民医院北围院区段）改造工程</v>
          </cell>
          <cell r="C15" t="str">
            <v>区住房城乡建设局</v>
          </cell>
          <cell r="D15" t="str">
            <v>高新基建</v>
          </cell>
          <cell r="E15" t="str">
            <v>实施珠海市高新区六组排洪渠（人民医院北围院区段）改造工程，改造长度约 420m，拟新建一体化排涝泵站 1 座、雨水暗涵412m、排水闸 4 座等工程。</v>
          </cell>
          <cell r="F15">
            <v>904</v>
          </cell>
          <cell r="G15" t="str">
            <v>2023-2024</v>
          </cell>
          <cell r="H15" t="str">
            <v>新建</v>
          </cell>
          <cell r="I15" t="str">
            <v>/</v>
          </cell>
          <cell r="J15">
            <v>904</v>
          </cell>
          <cell r="K15">
            <v>904</v>
          </cell>
          <cell r="L15">
            <v>780</v>
          </cell>
          <cell r="M15">
            <v>780</v>
          </cell>
          <cell r="N15">
            <v>0</v>
          </cell>
        </row>
        <row r="16">
          <cell r="B16" t="str">
            <v>珠海高新区那洲片区小学新建工程</v>
          </cell>
          <cell r="C16" t="str">
            <v>区社会事业局</v>
          </cell>
          <cell r="D16" t="str">
            <v>区公建中心</v>
          </cell>
          <cell r="E16" t="str">
            <v>珠海高新区那洲片区小学新建工程项目位于珠海市高新区那洲东路（次干路）以东，那东一路（支路）以南。项目用地面积：29378.97平方米，建设规模为36班完全小学，提供1620个小学学位。项目总建筑面积约为27197平方米,其中地上建筑面积23041平方米，主要功能包括教学楼、体育馆及配套设施综合楼；地下室建筑面积4156平方米，主要功能包括人防地下车库、消防水池及水泵房等。</v>
          </cell>
          <cell r="F16">
            <v>15948.78</v>
          </cell>
          <cell r="G16" t="str">
            <v>2023-2024</v>
          </cell>
          <cell r="H16" t="str">
            <v>续建</v>
          </cell>
          <cell r="I16" t="str">
            <v>珠高发投审〔2023〕20号</v>
          </cell>
          <cell r="J16">
            <v>12000</v>
          </cell>
          <cell r="K16">
            <v>12000</v>
          </cell>
          <cell r="L16">
            <v>9600</v>
          </cell>
          <cell r="M16">
            <v>9600</v>
          </cell>
          <cell r="N16">
            <v>0</v>
          </cell>
          <cell r="O16">
            <v>4500</v>
          </cell>
          <cell r="P16">
            <v>5100</v>
          </cell>
        </row>
        <row r="17">
          <cell r="B17" t="str">
            <v>珠海高新区东岸片区小学新建工程</v>
          </cell>
          <cell r="C17" t="str">
            <v>区社会事业局</v>
          </cell>
          <cell r="D17" t="str">
            <v>区公建中心</v>
          </cell>
          <cell r="E17" t="str">
            <v>用地面积1.54万平方米，规划总建面2.75万平方米，其中地上建面2.35万平方米，地下建面0.4万平方米，拟建1所规模为36个教学班的标准化小学，提供学位1620个，建设内容主要包括教学楼、行政办公楼、报告厅、食堂、体育馆、运动场、人防地下室车库等。</v>
          </cell>
          <cell r="F17">
            <v>16000</v>
          </cell>
          <cell r="G17" t="str">
            <v>2024-2026</v>
          </cell>
          <cell r="H17" t="str">
            <v>新建</v>
          </cell>
          <cell r="I17" t="str">
            <v>/</v>
          </cell>
          <cell r="J17">
            <v>10000</v>
          </cell>
          <cell r="K17">
            <v>10000</v>
          </cell>
          <cell r="L17">
            <v>8000</v>
          </cell>
          <cell r="M17">
            <v>8000</v>
          </cell>
          <cell r="N17">
            <v>0</v>
          </cell>
          <cell r="O17">
            <v>3000</v>
          </cell>
          <cell r="P17">
            <v>5000</v>
          </cell>
        </row>
        <row r="18">
          <cell r="B18" t="str">
            <v>珠海市金鼎中学学生宿舍楼新建工程</v>
          </cell>
          <cell r="C18" t="str">
            <v>区社会事业局</v>
          </cell>
          <cell r="D18" t="str">
            <v>高新基建</v>
          </cell>
          <cell r="E18" t="str">
            <v>新建2栋学生宿舍楼及连廊，总建筑面积约为16500 ㎡，含学生宿舍楼学生宿舍 (2-6F):10400 ㎡，食堂(1F)3000 m2，1600 床，地下建筑面积3100㎡。层数6层2栋，建筑高度 23.95M，设置地下停车位50个。</v>
          </cell>
          <cell r="F18">
            <v>8000</v>
          </cell>
          <cell r="G18" t="str">
            <v>2023-2024</v>
          </cell>
          <cell r="H18" t="str">
            <v>新建</v>
          </cell>
          <cell r="I18" t="str">
            <v>/</v>
          </cell>
          <cell r="J18">
            <v>6500</v>
          </cell>
          <cell r="K18">
            <v>2952.94117647059</v>
          </cell>
          <cell r="L18">
            <v>2510</v>
          </cell>
          <cell r="M18">
            <v>2510</v>
          </cell>
          <cell r="N18">
            <v>0</v>
          </cell>
          <cell r="O18">
            <v>575</v>
          </cell>
          <cell r="P18">
            <v>1935</v>
          </cell>
        </row>
        <row r="19">
          <cell r="B19" t="str">
            <v>珠海高新区礼和小学运动场改建工程</v>
          </cell>
          <cell r="C19" t="str">
            <v>区社会事业局</v>
          </cell>
          <cell r="D19" t="str">
            <v>高新基建</v>
          </cell>
          <cell r="E19" t="str">
            <v>项目位于珠海北站西侧、金业南路北侧，计划将原礼和小学运动场改建，增加停车场配套，同时增加部分功能 室并加装电梯。</v>
          </cell>
          <cell r="F19">
            <v>2997.24</v>
          </cell>
          <cell r="G19" t="str">
            <v>2023-2024</v>
          </cell>
          <cell r="H19" t="str">
            <v>新建</v>
          </cell>
          <cell r="I19" t="str">
            <v>/</v>
          </cell>
          <cell r="J19">
            <v>2997.24</v>
          </cell>
          <cell r="K19">
            <v>2997.24</v>
          </cell>
          <cell r="L19">
            <v>2500</v>
          </cell>
          <cell r="M19">
            <v>2500</v>
          </cell>
          <cell r="N19">
            <v>0</v>
          </cell>
          <cell r="O19">
            <v>1067.5</v>
          </cell>
          <cell r="P19">
            <v>1432.5</v>
          </cell>
        </row>
        <row r="20">
          <cell r="B20" t="str">
            <v>中山大学附属小学后环校区体育馆提升改造工程</v>
          </cell>
          <cell r="C20" t="str">
            <v>区社会事业局</v>
          </cell>
          <cell r="D20" t="str">
            <v>高华城资</v>
          </cell>
          <cell r="E20" t="str">
            <v>项目位于珠海市高新区中山大学附属小学后环校区内，建筑主体为室内体育馆，地上一层，塔楼三层，建筑高度为13.5米，建筑面积2802.65平方米，二级耐火等级，单多层建筑。首层设体育馆、游泳馆，塔楼二层设舞蹈室、三层设设备控制室。主要建设内容为：新建游泳池工程、室内装饰装修工程、电气工程、给排水工程、暖通工程等。</v>
          </cell>
          <cell r="F20">
            <v>654.8</v>
          </cell>
          <cell r="G20" t="str">
            <v>2022-2024</v>
          </cell>
          <cell r="H20" t="str">
            <v>新建</v>
          </cell>
          <cell r="I20" t="str">
            <v>/</v>
          </cell>
          <cell r="J20">
            <v>654.8</v>
          </cell>
          <cell r="K20">
            <v>654.8</v>
          </cell>
          <cell r="L20">
            <v>520</v>
          </cell>
          <cell r="M20">
            <v>520</v>
          </cell>
          <cell r="N20">
            <v>0</v>
          </cell>
          <cell r="O20">
            <v>260</v>
          </cell>
          <cell r="P20">
            <v>260</v>
          </cell>
        </row>
        <row r="21">
          <cell r="B21" t="str">
            <v>会同乡创文化中心及配套空间项目</v>
          </cell>
          <cell r="C21" t="str">
            <v>唐家湾镇政府</v>
          </cell>
          <cell r="D21" t="str">
            <v>高新基建</v>
          </cell>
          <cell r="E21" t="str">
            <v>该项目地处会同南路北侧国有空地，近临会同古村、会同那洲绿道环线入口，总用地面积约52000㎡。其中包含三个地块，地块一为文化活动用地，面积约16000㎡，计划建设游客服务中心、艺术中心等文化项目及配套停车场；地块二为商业用地，面积约5000㎡，拟调整村集体用地覆盖建设主题民宿及美食小街，增加村集体收益；地块三为公园绿地用地，面积约31000㎡，计划建设公园，可考虑帐篷露营营地。</v>
          </cell>
          <cell r="F21">
            <v>30996.32</v>
          </cell>
          <cell r="G21" t="str">
            <v>2023-2025</v>
          </cell>
          <cell r="H21" t="str">
            <v>新建</v>
          </cell>
          <cell r="I21" t="str">
            <v>/</v>
          </cell>
          <cell r="J21">
            <v>22000</v>
          </cell>
          <cell r="K21">
            <v>20000</v>
          </cell>
          <cell r="L21">
            <v>18000</v>
          </cell>
          <cell r="M21">
            <v>0</v>
          </cell>
          <cell r="N21">
            <v>18000</v>
          </cell>
        </row>
      </sheetData>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按建设阶段汇总"/>
      <sheetName val="按牵头责任部门汇总"/>
      <sheetName val="竣工项目"/>
      <sheetName val="续建项目"/>
      <sheetName val="新建项目"/>
      <sheetName val="储备库项目"/>
      <sheetName val="Sheet2"/>
      <sheetName val="Sheet1"/>
    </sheetNames>
    <sheetDataSet>
      <sheetData sheetId="0"/>
      <sheetData sheetId="1"/>
      <sheetData sheetId="2"/>
      <sheetData sheetId="3">
        <row r="3">
          <cell r="M3" t="str">
            <v>单位：万元</v>
          </cell>
        </row>
        <row r="4">
          <cell r="B4" t="str">
            <v>项目名称</v>
          </cell>
          <cell r="C4" t="str">
            <v>牵头责任单位</v>
          </cell>
          <cell r="D4" t="str">
            <v>建设
单位</v>
          </cell>
          <cell r="E4" t="str">
            <v>建设内容及规模</v>
          </cell>
          <cell r="F4" t="str">
            <v>总投资</v>
          </cell>
          <cell r="G4" t="str">
            <v>建设起止年限</v>
          </cell>
          <cell r="H4" t="str">
            <v>建设性质</v>
          </cell>
          <cell r="I4" t="str">
            <v>立项批复文号</v>
          </cell>
          <cell r="J4" t="str">
            <v>预计累计至2024年底完成投资额</v>
          </cell>
          <cell r="K4" t="str">
            <v>投资计划</v>
          </cell>
          <cell r="L4" t="str">
            <v>资金计划</v>
          </cell>
        </row>
        <row r="4">
          <cell r="O4" t="str">
            <v>上半年资金计划</v>
          </cell>
          <cell r="P4" t="str">
            <v>下半年资金计划</v>
          </cell>
          <cell r="Q4" t="str">
            <v>项目紧迫性排序（1，2..）</v>
          </cell>
          <cell r="R4" t="str">
            <v>资金落实</v>
          </cell>
        </row>
        <row r="5">
          <cell r="L5" t="str">
            <v>合计</v>
          </cell>
          <cell r="M5" t="str">
            <v>区财政</v>
          </cell>
          <cell r="N5" t="str">
            <v>其他</v>
          </cell>
        </row>
        <row r="5">
          <cell r="R5" t="str">
            <v>合计</v>
          </cell>
        </row>
        <row r="6">
          <cell r="B6" t="str">
            <v>2</v>
          </cell>
          <cell r="C6" t="str">
            <v>3</v>
          </cell>
          <cell r="D6" t="str">
            <v>4</v>
          </cell>
          <cell r="E6" t="str">
            <v>5</v>
          </cell>
          <cell r="F6" t="str">
            <v>6</v>
          </cell>
          <cell r="G6" t="str">
            <v>7</v>
          </cell>
          <cell r="H6" t="str">
            <v>8</v>
          </cell>
          <cell r="I6" t="str">
            <v>9</v>
          </cell>
          <cell r="J6" t="str">
            <v>10</v>
          </cell>
          <cell r="K6" t="str">
            <v>11</v>
          </cell>
          <cell r="L6" t="str">
            <v>12</v>
          </cell>
          <cell r="M6" t="str">
            <v>13</v>
          </cell>
          <cell r="N6" t="str">
            <v>14</v>
          </cell>
          <cell r="O6" t="str">
            <v>15</v>
          </cell>
          <cell r="P6" t="str">
            <v>16</v>
          </cell>
          <cell r="Q6" t="str">
            <v>17</v>
          </cell>
        </row>
        <row r="7">
          <cell r="F7">
            <v>933865.98</v>
          </cell>
        </row>
        <row r="7">
          <cell r="J7">
            <v>664507.114</v>
          </cell>
          <cell r="K7">
            <v>205241.842470588</v>
          </cell>
          <cell r="L7">
            <v>199733.565425</v>
          </cell>
          <cell r="M7">
            <v>199733.565425</v>
          </cell>
          <cell r="N7">
            <v>0</v>
          </cell>
          <cell r="O7">
            <v>142456.415425</v>
          </cell>
          <cell r="P7">
            <v>55373.15</v>
          </cell>
        </row>
        <row r="7">
          <cell r="R7">
            <v>11837</v>
          </cell>
        </row>
        <row r="8">
          <cell r="B8" t="str">
            <v>珠海市金溪大道新建工程（高新区段一期）</v>
          </cell>
          <cell r="C8" t="str">
            <v>区住房城乡建设局</v>
          </cell>
          <cell r="D8" t="str">
            <v>高新基建</v>
          </cell>
          <cell r="E8" t="str">
            <v>本项目位于金唐西路与金环路交叉路口，主要建设内容包括道路工程、桥涵工程、管线工程、照明工程、交通及安监工程、景绿化工程等。新建道路总长为2066米，红线宽45米；其中起点桥梁长380米，宽度27米。</v>
          </cell>
          <cell r="F8">
            <v>33995.63</v>
          </cell>
          <cell r="G8" t="str">
            <v>2021-2024</v>
          </cell>
          <cell r="H8" t="str">
            <v>续建</v>
          </cell>
          <cell r="I8" t="str">
            <v>珠高发投审〔2022〕3号</v>
          </cell>
          <cell r="J8">
            <v>26256</v>
          </cell>
          <cell r="K8">
            <v>2200</v>
          </cell>
          <cell r="L8">
            <v>1904</v>
          </cell>
          <cell r="M8">
            <v>1904</v>
          </cell>
          <cell r="N8">
            <v>0</v>
          </cell>
          <cell r="O8">
            <v>1744.5</v>
          </cell>
          <cell r="P8">
            <v>159.5</v>
          </cell>
          <cell r="Q8">
            <v>16</v>
          </cell>
        </row>
        <row r="9">
          <cell r="B9" t="str">
            <v>珠海市高新区金溪大道（高新区段二期）新建工程</v>
          </cell>
          <cell r="C9" t="str">
            <v>区住房城乡建设局</v>
          </cell>
          <cell r="D9" t="str">
            <v>高新基建</v>
          </cell>
          <cell r="E9" t="str">
            <v>建设长度约1.8km，红线宽度45m。</v>
          </cell>
          <cell r="F9">
            <v>25587.78</v>
          </cell>
          <cell r="G9" t="str">
            <v>2022-2024</v>
          </cell>
          <cell r="H9" t="str">
            <v>续建</v>
          </cell>
          <cell r="I9" t="str">
            <v>珠高发投审〔2022〕46号</v>
          </cell>
          <cell r="J9">
            <v>15364</v>
          </cell>
          <cell r="K9">
            <v>11194</v>
          </cell>
          <cell r="L9">
            <v>9741.5</v>
          </cell>
          <cell r="M9">
            <v>9741.5</v>
          </cell>
          <cell r="N9">
            <v>0</v>
          </cell>
          <cell r="O9">
            <v>4406</v>
          </cell>
          <cell r="P9">
            <v>5335.5</v>
          </cell>
          <cell r="Q9">
            <v>1</v>
          </cell>
        </row>
        <row r="10">
          <cell r="B10" t="str">
            <v>广东省珠海市大湾区智造产业园及配套服务设施项目-二线公路改造提升及衔接通道工程</v>
          </cell>
          <cell r="C10" t="str">
            <v>区住房城乡建设局</v>
          </cell>
          <cell r="D10" t="str">
            <v>华发集团</v>
          </cell>
          <cell r="E10" t="str">
            <v>包括3条道路、3条排洪渠及3段电力隧道；市政道路包括次干路二线公路、主干路金丰一路以及支路550kv金鼎站配套路，设计总长约7.92km；排洪渠包括甲背坑排洪渠、谭井排洪渠、谭井水库排洪渠共3条排洪渠，总长约1.0km；电力隧道包括金鼎站进站路、二线公路段（金园五路~金园二路）电力隧道，设计总长约1.47km。</v>
          </cell>
          <cell r="F10">
            <v>74540</v>
          </cell>
          <cell r="G10" t="str">
            <v>2022-2024</v>
          </cell>
          <cell r="H10" t="str">
            <v>续建</v>
          </cell>
          <cell r="I10" t="str">
            <v>珠高发投审〔2022〕68号</v>
          </cell>
          <cell r="J10">
            <v>30500</v>
          </cell>
          <cell r="K10">
            <v>8000</v>
          </cell>
          <cell r="L10">
            <v>9500</v>
          </cell>
          <cell r="M10">
            <v>9500</v>
          </cell>
          <cell r="N10">
            <v>0</v>
          </cell>
          <cell r="O10">
            <v>6400</v>
          </cell>
          <cell r="P10">
            <v>3100</v>
          </cell>
          <cell r="Q10">
            <v>2</v>
          </cell>
        </row>
        <row r="11">
          <cell r="B11" t="str">
            <v>广东省珠海市大湾区智造产业园及配套服务设施项目-五桂山高位水池及金鼎2#泵站</v>
          </cell>
          <cell r="C11" t="str">
            <v>区住房城乡建设局</v>
          </cell>
          <cell r="D11" t="str">
            <v>华发集团</v>
          </cell>
          <cell r="E11" t="str">
            <v>新建一座五桂山高位水池，规划容积10000立方米，池底高程50米；新建一座加压泵站，规划规模2500立方米/小时，已经配建管道总长约2.8千米</v>
          </cell>
          <cell r="F11">
            <v>11700</v>
          </cell>
          <cell r="G11" t="str">
            <v>2022-2024</v>
          </cell>
          <cell r="H11" t="str">
            <v>续建</v>
          </cell>
          <cell r="I11" t="str">
            <v>珠高发投审〔2022〕76号</v>
          </cell>
          <cell r="J11">
            <v>5000</v>
          </cell>
          <cell r="K11">
            <v>2400</v>
          </cell>
          <cell r="L11">
            <v>2520</v>
          </cell>
          <cell r="M11">
            <v>2520</v>
          </cell>
          <cell r="N11">
            <v>0</v>
          </cell>
          <cell r="O11">
            <v>1320</v>
          </cell>
          <cell r="P11">
            <v>1200</v>
          </cell>
          <cell r="Q11">
            <v>3</v>
          </cell>
        </row>
        <row r="12">
          <cell r="B12" t="str">
            <v>二线公路外5处裸露山体复绿工程</v>
          </cell>
          <cell r="C12" t="str">
            <v>区住房城乡建设局</v>
          </cell>
          <cell r="D12" t="str">
            <v>高华城资</v>
          </cell>
          <cell r="E12" t="str">
            <v>项目面积约55.24公顷，包含清理坡面、客土喷播、挡土堤、截水沟、排水沟、种植乔木、种植灌木等内容。</v>
          </cell>
          <cell r="F12">
            <v>4499.17</v>
          </cell>
          <cell r="G12" t="str">
            <v>2021-2025</v>
          </cell>
          <cell r="H12" t="str">
            <v>续建</v>
          </cell>
          <cell r="I12" t="str">
            <v>珠高发投审〔2022〕56号</v>
          </cell>
          <cell r="J12">
            <v>4499.17</v>
          </cell>
          <cell r="K12">
            <v>1020</v>
          </cell>
          <cell r="L12">
            <v>850</v>
          </cell>
          <cell r="M12">
            <v>850</v>
          </cell>
          <cell r="N12">
            <v>0</v>
          </cell>
          <cell r="O12">
            <v>600</v>
          </cell>
          <cell r="P12">
            <v>250</v>
          </cell>
          <cell r="Q12">
            <v>4</v>
          </cell>
          <cell r="R12">
            <v>700</v>
          </cell>
        </row>
        <row r="13">
          <cell r="B13" t="str">
            <v>珠海市高新区500kV金鼎站配套市政电缆隧道新建工程</v>
          </cell>
          <cell r="C13" t="str">
            <v>区住房城乡建设局</v>
          </cell>
          <cell r="D13" t="str">
            <v>格力建投</v>
          </cell>
          <cell r="E13" t="str">
            <v>本工程（项目编码：2205-440400-04-01-331945）位于珠海市高新区金鼎片区，新建220KV电缆隧道，起点二线公路，终点接金溪珠海高新技术产业开发区发展改革和财政金融局文件大道电缆隧道，采用单舱、双舱结合形式，全长约3.96km，其中二线公路-金环路段新建十二回路220KV双舱电缆隧道，长度约0.84km，断面外尺寸B*H=6.7*4.0，局部顶管段为2个Ф3.5m内径圆形电缆隧道；金环路段新建六回路220KV单舱电缆隧道，长度约3.12km，断面外尺寸B*H=3.6*4.0m；项目建设主要内容包括基坑支护工程、主体结构工程、工艺工程、通风工程、保护及拆除恢复工程。</v>
          </cell>
          <cell r="F13">
            <v>25700</v>
          </cell>
          <cell r="G13" t="str">
            <v>2023-2025</v>
          </cell>
          <cell r="H13" t="str">
            <v>续建</v>
          </cell>
          <cell r="I13" t="str">
            <v>珠高发投审〔2022〕75号</v>
          </cell>
          <cell r="J13">
            <v>17000</v>
          </cell>
          <cell r="K13">
            <v>10000</v>
          </cell>
          <cell r="L13">
            <v>8000</v>
          </cell>
          <cell r="M13">
            <v>8000</v>
          </cell>
          <cell r="N13">
            <v>0</v>
          </cell>
          <cell r="O13">
            <v>5000</v>
          </cell>
          <cell r="P13">
            <v>3000</v>
          </cell>
          <cell r="Q13">
            <v>5</v>
          </cell>
        </row>
        <row r="14">
          <cell r="B14" t="str">
            <v>珠海市高新区220kV永丰站配套市政电缆隧道新建工程（一期）</v>
          </cell>
          <cell r="C14" t="str">
            <v>区住房城乡建设局</v>
          </cell>
          <cell r="D14" t="str">
            <v>格力建投</v>
          </cell>
          <cell r="E14" t="str">
            <v>本工程一期实施二线公路、金鼎西路、金环路、中珠渠北路、中珠渠南路。一期建设内容包括新建 220kV 四回路电力隧道约 3.28km，采用单舱形式，断面尺寸B×H=2.80m×2.60m；新建 110kV 六回路电缆沟，约 5.39km，断面尺寸 B×H=2.06m×2.68m。</v>
          </cell>
          <cell r="F14">
            <v>46450</v>
          </cell>
          <cell r="G14" t="str">
            <v>2023-2025</v>
          </cell>
          <cell r="H14" t="str">
            <v>续建</v>
          </cell>
          <cell r="I14" t="str">
            <v>珠高发投审〔2023〕10号</v>
          </cell>
          <cell r="J14">
            <v>11000</v>
          </cell>
          <cell r="K14">
            <v>9000</v>
          </cell>
          <cell r="L14">
            <v>7200</v>
          </cell>
          <cell r="M14">
            <v>7200</v>
          </cell>
          <cell r="N14">
            <v>0</v>
          </cell>
          <cell r="O14">
            <v>3000</v>
          </cell>
          <cell r="P14">
            <v>4200</v>
          </cell>
          <cell r="Q14">
            <v>6</v>
          </cell>
        </row>
        <row r="15">
          <cell r="B15" t="str">
            <v>金唐东路（二期）工程</v>
          </cell>
          <cell r="C15" t="str">
            <v>区住房城乡建设局</v>
          </cell>
          <cell r="D15" t="str">
            <v>交通集团</v>
          </cell>
          <cell r="E15" t="str">
            <v>项目起点接现状金唐东路（一期）、与哈工大延长线Ｔ型平面交叉，路线以隧道形式穿越小南山北路、同时穿越中大建设用地，于唐南路以西出洞，分别与唐南路、港湾大道平面交叉，建设规模为新建长约2.3公里双向4车道城市次干路，其中隧道长度约2.3公里，隧道预留双向6车道宽度。</v>
          </cell>
          <cell r="F15">
            <v>62380.17</v>
          </cell>
          <cell r="G15" t="str">
            <v>2020-2024</v>
          </cell>
          <cell r="H15" t="str">
            <v>续建</v>
          </cell>
          <cell r="I15" t="str">
            <v>珠高发投审〔 2019〕60号</v>
          </cell>
          <cell r="J15">
            <v>62380.17</v>
          </cell>
          <cell r="K15">
            <v>5000</v>
          </cell>
          <cell r="L15">
            <v>4000</v>
          </cell>
          <cell r="M15">
            <v>4000</v>
          </cell>
          <cell r="N15">
            <v>0</v>
          </cell>
          <cell r="O15">
            <v>2000</v>
          </cell>
          <cell r="P15">
            <v>2000</v>
          </cell>
          <cell r="Q15">
            <v>7</v>
          </cell>
        </row>
        <row r="16">
          <cell r="B16" t="str">
            <v>珠海市高新区京珠西B组团配套市政基础设施新建工程</v>
          </cell>
          <cell r="C16" t="str">
            <v>区住房城乡建设局</v>
          </cell>
          <cell r="D16" t="str">
            <v>高新基建</v>
          </cell>
          <cell r="E16" t="str">
            <v>本片区位于中珠排洪渠与金鼎东路交界北侧，地块总面积约40ha，建设内容包括5条道路（2.19km)及场地平整。</v>
          </cell>
          <cell r="F16">
            <v>7013.32</v>
          </cell>
          <cell r="G16" t="str">
            <v>2022-2024</v>
          </cell>
          <cell r="H16" t="str">
            <v>续建</v>
          </cell>
          <cell r="I16" t="str">
            <v>珠高发投审〔2022〕34号</v>
          </cell>
          <cell r="J16">
            <v>2131.49</v>
          </cell>
          <cell r="K16">
            <v>140</v>
          </cell>
          <cell r="L16">
            <v>20</v>
          </cell>
          <cell r="M16">
            <v>20</v>
          </cell>
          <cell r="N16">
            <v>0</v>
          </cell>
          <cell r="O16">
            <v>10</v>
          </cell>
          <cell r="P16">
            <v>10</v>
          </cell>
          <cell r="Q16">
            <v>8</v>
          </cell>
        </row>
        <row r="17">
          <cell r="B17" t="str">
            <v>珠海市高新区排水管网病害修复工程一期工程</v>
          </cell>
          <cell r="C17" t="str">
            <v>区住房城乡建设局</v>
          </cell>
          <cell r="D17" t="str">
            <v>珠海供排水管网有限公司</v>
          </cell>
          <cell r="E17" t="str">
            <v>珠海市高新区排水管网病害修复工程一期工程共修复北围、金鼎、唐家、前环、鸡山、后环等片区内市政道路约28条，其中开挖修复污水管长度约3.75km;开挖修复雨水管长度约为3.2km;CIPP紫外线光固化整修长度约0.9km;CIPP点状原位固化修复约337环。</v>
          </cell>
          <cell r="F17">
            <v>8388.14</v>
          </cell>
          <cell r="G17" t="str">
            <v>2023-2024</v>
          </cell>
          <cell r="H17" t="str">
            <v>续建</v>
          </cell>
          <cell r="I17" t="str">
            <v>珠高发投审〔2022〕72号</v>
          </cell>
          <cell r="J17">
            <v>6500</v>
          </cell>
          <cell r="K17">
            <v>4000</v>
          </cell>
          <cell r="L17">
            <v>3200</v>
          </cell>
          <cell r="M17">
            <v>3200</v>
          </cell>
          <cell r="N17">
            <v>0</v>
          </cell>
          <cell r="O17">
            <v>1200</v>
          </cell>
          <cell r="P17">
            <v>2000</v>
          </cell>
          <cell r="Q17">
            <v>9</v>
          </cell>
        </row>
        <row r="18">
          <cell r="B18" t="str">
            <v>淇澳红树林路工程</v>
          </cell>
          <cell r="C18" t="str">
            <v>区住房城乡建设局</v>
          </cell>
          <cell r="D18" t="str">
            <v>区公建中心</v>
          </cell>
          <cell r="E18" t="str">
            <v>本工程位于珠海市高新区唐家湾片区淇澳岛，线路总体呈北西走向，项目起点位于淇澳环岛路（东线），项目终点接在建的红林路（X588），路线全长2020.17m。本项目工作范围含道路工程、管线工程、箱涵工程、交通工程、景观工程、照明工程等。</v>
          </cell>
          <cell r="F18">
            <v>14265</v>
          </cell>
          <cell r="G18" t="str">
            <v>2022-2024</v>
          </cell>
          <cell r="H18" t="str">
            <v>续建</v>
          </cell>
          <cell r="I18" t="str">
            <v>珠高发投〔2020〕25号</v>
          </cell>
          <cell r="J18">
            <v>14265</v>
          </cell>
          <cell r="K18">
            <v>3500</v>
          </cell>
          <cell r="L18">
            <v>3400</v>
          </cell>
          <cell r="M18">
            <v>3400</v>
          </cell>
          <cell r="N18">
            <v>0</v>
          </cell>
          <cell r="O18">
            <v>3400</v>
          </cell>
          <cell r="P18">
            <v>0</v>
          </cell>
          <cell r="Q18">
            <v>10</v>
          </cell>
        </row>
        <row r="19">
          <cell r="B19" t="str">
            <v>珠海市高新区金鼎东路（金环路-中珠渠南路段）配套道路新建工程</v>
          </cell>
          <cell r="C19" t="str">
            <v>区住房城乡建设局</v>
          </cell>
          <cell r="D19" t="str">
            <v>区公建中心</v>
          </cell>
          <cell r="E19" t="str">
            <v>项目位于珠海高新区的金鼎片区，工程建设内容包含1条市政道路、1座桥梁和1条市政排洪渠和1座临时钢便桥。项目实施内容包括道路工程、污水工程、雨水工程、桥涵工程、排洪渠工程、给水工程、预留沟工程、缆线管廊工程、照明工程、绿化景观工程、安监工程、交通设施、海绵城市工程、预留燃气管位等。</v>
          </cell>
          <cell r="F19">
            <v>8438.77</v>
          </cell>
          <cell r="G19" t="str">
            <v>2022-2024</v>
          </cell>
          <cell r="H19" t="str">
            <v>续建</v>
          </cell>
          <cell r="I19" t="str">
            <v>珠高发投审〔2022〕117号</v>
          </cell>
          <cell r="J19">
            <v>8438.77</v>
          </cell>
          <cell r="K19">
            <v>4000</v>
          </cell>
          <cell r="L19">
            <v>4600</v>
          </cell>
          <cell r="M19">
            <v>4600</v>
          </cell>
          <cell r="N19">
            <v>0</v>
          </cell>
          <cell r="O19">
            <v>2700</v>
          </cell>
          <cell r="P19">
            <v>1900</v>
          </cell>
          <cell r="Q19">
            <v>11</v>
          </cell>
        </row>
        <row r="20">
          <cell r="B20" t="str">
            <v>广东省珠海市大湾区智造产业园及配套服务设施项目-ABCD片区市政配套工程</v>
          </cell>
          <cell r="C20" t="str">
            <v>区住房城乡建设局</v>
          </cell>
          <cell r="D20" t="str">
            <v>华发集团</v>
          </cell>
          <cell r="E20" t="str">
            <v>包括9条道路、2条排洪渠及4条截洪沟；市政道路包括规划一路、规划二路等9条支路，设计总长约4.60km；排洪渠包括五桂山2#排洪渠、河屋坑排洪渠共2条排洪渠，总长约1.23km；截洪沟共4条，设计总长约1.20km。</v>
          </cell>
          <cell r="F20">
            <v>25873</v>
          </cell>
          <cell r="G20" t="str">
            <v>2022-2024</v>
          </cell>
          <cell r="H20" t="str">
            <v>续建</v>
          </cell>
          <cell r="I20" t="str">
            <v>珠高发投审〔2022〕77号</v>
          </cell>
          <cell r="J20">
            <v>6000</v>
          </cell>
          <cell r="K20">
            <v>1700</v>
          </cell>
          <cell r="L20">
            <v>1800</v>
          </cell>
          <cell r="M20">
            <v>1800</v>
          </cell>
          <cell r="N20">
            <v>0</v>
          </cell>
          <cell r="O20">
            <v>1200</v>
          </cell>
          <cell r="P20">
            <v>600</v>
          </cell>
          <cell r="Q20">
            <v>12</v>
          </cell>
        </row>
        <row r="21">
          <cell r="B21" t="str">
            <v>高新区智慧水务工程</v>
          </cell>
          <cell r="C21" t="str">
            <v>区住房城乡建设局</v>
          </cell>
          <cell r="D21" t="str">
            <v>高华城资</v>
          </cell>
          <cell r="E21" t="str">
            <v>1.智慧水务管理平台；
2.30个污水管网监测点；
3.27处河涌水系监测点
4.3处内涝监测点；
5.11处水闸监测点；
6.7处海堤监测点；
7.3个水库监测点。</v>
          </cell>
          <cell r="F21">
            <v>1315.88</v>
          </cell>
          <cell r="G21" t="str">
            <v>2022-2024</v>
          </cell>
          <cell r="H21" t="str">
            <v>续建</v>
          </cell>
          <cell r="I21" t="str">
            <v>珠高发投审〔2023〕2号</v>
          </cell>
          <cell r="J21">
            <v>1315.88</v>
          </cell>
          <cell r="K21">
            <v>1250</v>
          </cell>
          <cell r="L21">
            <v>1200</v>
          </cell>
          <cell r="M21">
            <v>1200</v>
          </cell>
          <cell r="N21">
            <v>0</v>
          </cell>
          <cell r="O21">
            <v>1000</v>
          </cell>
          <cell r="P21">
            <v>200</v>
          </cell>
          <cell r="Q21">
            <v>13</v>
          </cell>
        </row>
        <row r="22">
          <cell r="B22" t="str">
            <v>珠海市高新区东岸留思山片区滞泄洪提升项目</v>
          </cell>
          <cell r="C22" t="str">
            <v>区住房城乡建设局</v>
          </cell>
          <cell r="D22" t="str">
            <v>高新基建</v>
          </cell>
          <cell r="E22" t="str">
            <v>本项目位于留思山东侧，总占地面积约21.9公顷，其中水面积4.7公顷,陆域面积17.2公顷。项目主要建设内容包括：泄滞洪水道、6米宽。</v>
          </cell>
          <cell r="F22">
            <v>6111.69</v>
          </cell>
          <cell r="G22" t="str">
            <v>2022-2024</v>
          </cell>
          <cell r="H22" t="str">
            <v>续建</v>
          </cell>
          <cell r="I22" t="str">
            <v>珠高发投审〔2023〕1号</v>
          </cell>
          <cell r="J22">
            <v>5721.32</v>
          </cell>
          <cell r="K22">
            <v>4336</v>
          </cell>
          <cell r="L22">
            <v>3547</v>
          </cell>
          <cell r="M22">
            <v>3547</v>
          </cell>
          <cell r="N22">
            <v>0</v>
          </cell>
          <cell r="O22">
            <v>3039</v>
          </cell>
          <cell r="P22">
            <v>508</v>
          </cell>
          <cell r="Q22">
            <v>14</v>
          </cell>
          <cell r="R22">
            <v>2000</v>
          </cell>
        </row>
        <row r="23">
          <cell r="B23" t="str">
            <v>珠海市高新区金鼎山南片区配套基础设施新建工程</v>
          </cell>
          <cell r="C23" t="str">
            <v>区住房城乡建设局</v>
          </cell>
          <cell r="D23" t="str">
            <v>高新基建</v>
          </cell>
          <cell r="E23" t="str">
            <v>本工程（项目编码：2201-440402-04-01-920537）位于高新区金鼎片区，新建4条道路，道路总长1820米。其中金园路长约500米，宽34米；规划一路长约307米，宽20米；规划二路长约550米，宽20米；规划三路长约463米，宽20米。场地平整面积约108,385.78平方米，修建排洪渠长575.64米,断截面6*3米。建设内容包括道路工程、配套市政给水、污水和雨水、照明电缆沟及通信沟设计等。</v>
          </cell>
          <cell r="F23">
            <v>10066.24</v>
          </cell>
          <cell r="G23" t="str">
            <v>2022-2024</v>
          </cell>
          <cell r="H23" t="str">
            <v>续建</v>
          </cell>
          <cell r="I23" t="str">
            <v>珠高发投审〔2022〕48号</v>
          </cell>
          <cell r="J23">
            <v>10022.98</v>
          </cell>
          <cell r="K23">
            <v>2800</v>
          </cell>
          <cell r="L23">
            <v>1771</v>
          </cell>
          <cell r="M23">
            <v>1771</v>
          </cell>
          <cell r="N23">
            <v>0</v>
          </cell>
          <cell r="O23">
            <v>1738</v>
          </cell>
          <cell r="P23">
            <v>33</v>
          </cell>
          <cell r="Q23">
            <v>15</v>
          </cell>
        </row>
        <row r="24">
          <cell r="B24" t="str">
            <v>2023年度珠海市高新区老旧小区改造提升工程</v>
          </cell>
          <cell r="C24" t="str">
            <v>区住房城乡建设局</v>
          </cell>
          <cell r="D24" t="str">
            <v>区公建中心</v>
          </cell>
          <cell r="E24" t="str">
            <v>龙珠花园、丁婶花园、 唐家花园、唐家乐园、唐家供水楼等个城镇老旧小区改造工程。5个城镇老旧小区改造工程。建设内容：
1.建筑本体修缮：楼梯和公共空间修缮；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v>
          </cell>
          <cell r="F24">
            <v>2376.09</v>
          </cell>
          <cell r="G24" t="str">
            <v>2023-2024</v>
          </cell>
          <cell r="H24" t="str">
            <v>续建</v>
          </cell>
          <cell r="I24" t="str">
            <v>珠高发投审〔2023〕12号</v>
          </cell>
          <cell r="J24">
            <v>2376.09</v>
          </cell>
          <cell r="K24">
            <v>1250</v>
          </cell>
          <cell r="L24">
            <v>1000</v>
          </cell>
          <cell r="M24">
            <v>1000</v>
          </cell>
          <cell r="N24">
            <v>0</v>
          </cell>
          <cell r="O24">
            <v>970</v>
          </cell>
          <cell r="P24">
            <v>30</v>
          </cell>
          <cell r="Q24">
            <v>17</v>
          </cell>
        </row>
        <row r="25">
          <cell r="B25" t="str">
            <v>珠海市高新区会同集配套市政基础设施新建工程</v>
          </cell>
          <cell r="C25" t="str">
            <v>区住房城乡建设局</v>
          </cell>
          <cell r="D25" t="str">
            <v>高新基建</v>
          </cell>
          <cell r="E25" t="str">
            <v>位于北师大西侧，建设内容包括5条配套道路约2km，3条排洪渠及场地平整。</v>
          </cell>
          <cell r="F25">
            <v>9612.78</v>
          </cell>
          <cell r="G25" t="str">
            <v>2022-2024</v>
          </cell>
          <cell r="H25" t="str">
            <v>续建</v>
          </cell>
          <cell r="I25" t="str">
            <v>珠高发投审〔2022〕51号</v>
          </cell>
          <cell r="J25">
            <v>9578</v>
          </cell>
          <cell r="K25">
            <v>1760</v>
          </cell>
          <cell r="L25">
            <v>712</v>
          </cell>
          <cell r="M25">
            <v>712</v>
          </cell>
          <cell r="N25">
            <v>0</v>
          </cell>
          <cell r="O25">
            <v>679</v>
          </cell>
          <cell r="P25">
            <v>33</v>
          </cell>
          <cell r="Q25">
            <v>18</v>
          </cell>
        </row>
        <row r="26">
          <cell r="B26" t="str">
            <v>高新区正坑、潭井、佛迳水库除险加固工程</v>
          </cell>
          <cell r="C26" t="str">
            <v>区住房城乡建设局</v>
          </cell>
          <cell r="D26" t="str">
            <v>区公建中心</v>
          </cell>
          <cell r="E26" t="str">
            <v>对正坑、潭井、佛迳水库进行坝体加固及清淤。</v>
          </cell>
          <cell r="F26">
            <v>1268.36</v>
          </cell>
          <cell r="G26" t="str">
            <v>2022-2024</v>
          </cell>
          <cell r="H26" t="str">
            <v>续建</v>
          </cell>
          <cell r="I26" t="str">
            <v>珠高发投审〔2023〕7号</v>
          </cell>
          <cell r="J26">
            <v>1268.36</v>
          </cell>
          <cell r="K26">
            <v>50</v>
          </cell>
          <cell r="L26">
            <v>300</v>
          </cell>
          <cell r="M26">
            <v>300</v>
          </cell>
          <cell r="N26">
            <v>0</v>
          </cell>
          <cell r="O26">
            <v>100</v>
          </cell>
          <cell r="P26">
            <v>200</v>
          </cell>
          <cell r="Q26">
            <v>19</v>
          </cell>
        </row>
        <row r="27">
          <cell r="B27" t="str">
            <v>金凤渠（南围段）东侧道路工程</v>
          </cell>
          <cell r="C27" t="str">
            <v>区住房城乡建设局</v>
          </cell>
          <cell r="D27" t="str">
            <v>交通集团</v>
          </cell>
          <cell r="E27" t="str">
            <v>项目位于珠海高新区金凤渠东侧，主要工程内容为新建三条市政道路，道路设计总长约2507米，其中科技一路至科技二路设计长度约490米，道路红线宽度为12米，道路等级为城市支路；科技二路至南围海堤设计长度约1375米，道路红线宽度为30米，道路等级为次干路；创意中路金凤渠桥梁设计长度约为307米，道路红线宽度为34米，道路等级为城市主干路。金凤北路设计长度约为336米，道路红线宽度规划为52米，道路等级为主干路。</v>
          </cell>
          <cell r="F27">
            <v>17466.62</v>
          </cell>
          <cell r="G27" t="str">
            <v>2021-2024</v>
          </cell>
          <cell r="H27" t="str">
            <v>续建</v>
          </cell>
          <cell r="I27" t="str">
            <v>珠高发投审〔 2020〕39号</v>
          </cell>
          <cell r="J27">
            <v>17466.62</v>
          </cell>
          <cell r="K27">
            <v>800</v>
          </cell>
          <cell r="L27">
            <v>600</v>
          </cell>
          <cell r="M27">
            <v>600</v>
          </cell>
          <cell r="N27">
            <v>0</v>
          </cell>
          <cell r="O27">
            <v>500</v>
          </cell>
          <cell r="P27">
            <v>100</v>
          </cell>
          <cell r="Q27">
            <v>20</v>
          </cell>
        </row>
        <row r="28">
          <cell r="B28" t="str">
            <v>高新区前环3号排洪渠及周边配套市政建设工程</v>
          </cell>
          <cell r="C28" t="str">
            <v>区住房城乡建设局</v>
          </cell>
          <cell r="D28" t="str">
            <v>区公建中心</v>
          </cell>
          <cell r="E28" t="str">
            <v>本项目建设内容包含前环3号排洪渠、截洪沟、水闸、调蓄湖、碧道及其他配套市政工程等，改造3号排洪渠断面尺寸3.0~7.0m（渠底宽）×3.0m，采用梯形断面形式，生态植草坡面，渠道纵坡为0.5‰~3.6‰，设计长度约为1.5km；新建大海饲料厂过路单孔箱涵一处，断面尺寸1-5.0m×2.0m，长度约15m；渠道末端下穿情侣北路及海堤新建双孔箱涵，断面尺寸2-5.0m×3.0m，长度约77m，涵前新建单孔水闸宽8m，设计闸底标高-0.30m，设计过闸流量31.6m³/s；新建环石坑山新建截洪沟长度约337m，断面尺寸2.5m×1.5m；改造现状调蓄湖一处面积约1.5ha，调蓄容积约 2.7万m³。</v>
          </cell>
          <cell r="F28">
            <v>3839.58</v>
          </cell>
          <cell r="G28" t="str">
            <v>2022-2024</v>
          </cell>
          <cell r="H28" t="str">
            <v>续建</v>
          </cell>
          <cell r="I28" t="str">
            <v>珠发高投〔2022〕68号</v>
          </cell>
          <cell r="J28">
            <v>3789.58</v>
          </cell>
          <cell r="K28">
            <v>50</v>
          </cell>
          <cell r="L28">
            <v>1100</v>
          </cell>
          <cell r="M28">
            <v>1100</v>
          </cell>
          <cell r="N28">
            <v>0</v>
          </cell>
          <cell r="O28">
            <v>100</v>
          </cell>
          <cell r="P28">
            <v>1000</v>
          </cell>
          <cell r="Q28">
            <v>21</v>
          </cell>
        </row>
        <row r="29">
          <cell r="B29" t="str">
            <v>珠海市高新区湾区智造AI产业创新中心片区配套基础设施新建工程</v>
          </cell>
          <cell r="C29" t="str">
            <v>区住房城乡建设局</v>
          </cell>
          <cell r="D29" t="str">
            <v>高新基建</v>
          </cell>
          <cell r="E29" t="str">
            <v>建设内容包括一条排洪渠新建工程；金鸿六路以东、岐关路以南地块土地平整工程；五条道路基础设施：金鸿四路（岐关路-金唐西路段）、金鸿五路（岐关路-金唐西路段）、金鸿七路（岐关路-金唐西路段）、金品二路（岐关路-金鼎西路段）。</v>
          </cell>
          <cell r="F29">
            <v>13468.29</v>
          </cell>
          <cell r="G29" t="str">
            <v>2022-2024</v>
          </cell>
          <cell r="H29" t="str">
            <v>续建</v>
          </cell>
          <cell r="I29" t="str">
            <v>珠高发投审〔2022〕42号</v>
          </cell>
          <cell r="J29">
            <v>13468.29</v>
          </cell>
          <cell r="K29">
            <v>1215</v>
          </cell>
          <cell r="L29">
            <v>1209</v>
          </cell>
          <cell r="M29">
            <v>1209</v>
          </cell>
          <cell r="N29">
            <v>0</v>
          </cell>
          <cell r="O29">
            <v>1163.5</v>
          </cell>
          <cell r="P29">
            <v>45.5</v>
          </cell>
          <cell r="Q29">
            <v>22</v>
          </cell>
        </row>
        <row r="30">
          <cell r="B30" t="str">
            <v>金凤排洪渠（凤凰山隧道北-南围海堤段）综合整治工程</v>
          </cell>
          <cell r="C30" t="str">
            <v>区住房城乡建设局</v>
          </cell>
          <cell r="D30" t="str">
            <v>交通集团</v>
          </cell>
          <cell r="E30" t="str">
            <v>项目起于凤凰山隧道北出口，止于南围海堤。包含两侧慢性系统的贯通，驿站、活动场地等配套设施完善；修建道路共计约1,024米；新建2座桥梁，拆除3座，提升5座；排洪渠修建工程长5,350米，含挡墙重建或加固、渠底清淤、两岸步道建设等。</v>
          </cell>
          <cell r="F30">
            <v>52647.13</v>
          </cell>
          <cell r="G30" t="str">
            <v>2022-2024</v>
          </cell>
          <cell r="H30" t="str">
            <v>续建</v>
          </cell>
          <cell r="I30" t="str">
            <v>珠高发投审〔 2021〕 11号</v>
          </cell>
          <cell r="J30">
            <v>42000</v>
          </cell>
          <cell r="K30">
            <v>5000</v>
          </cell>
          <cell r="L30">
            <v>10000</v>
          </cell>
          <cell r="M30">
            <v>10000</v>
          </cell>
          <cell r="N30">
            <v>0</v>
          </cell>
          <cell r="O30">
            <v>3000</v>
          </cell>
          <cell r="P30">
            <v>7000</v>
          </cell>
          <cell r="Q30">
            <v>23</v>
          </cell>
        </row>
        <row r="31">
          <cell r="B31" t="str">
            <v>中珠渠南路工程</v>
          </cell>
          <cell r="C31" t="str">
            <v>区住房城乡建设局</v>
          </cell>
          <cell r="D31" t="str">
            <v>城建市政</v>
          </cell>
          <cell r="E31" t="str">
            <v>本工程位于珠海高新区金鼎片区，西起金环路，东至京珠高速西辅道，道路全长约3426米，道路红线宽度为24米，道路等级为城市次干路，双向4车道，设计时速为40公里每小时。</v>
          </cell>
          <cell r="F31">
            <v>16002</v>
          </cell>
          <cell r="G31" t="str">
            <v>2019-2024</v>
          </cell>
          <cell r="H31" t="str">
            <v>续建</v>
          </cell>
          <cell r="I31" t="str">
            <v>珠高发投〔2018〕73号</v>
          </cell>
          <cell r="J31">
            <v>8000</v>
          </cell>
          <cell r="K31">
            <v>6250</v>
          </cell>
          <cell r="L31">
            <v>5000</v>
          </cell>
          <cell r="M31">
            <v>5000</v>
          </cell>
          <cell r="N31">
            <v>0</v>
          </cell>
          <cell r="O31">
            <v>2520</v>
          </cell>
          <cell r="P31">
            <v>2480</v>
          </cell>
          <cell r="Q31">
            <v>24</v>
          </cell>
        </row>
        <row r="32">
          <cell r="B32" t="str">
            <v>珠海高新区东岸中学及景阳小学配套设施建设工程</v>
          </cell>
          <cell r="C32" t="str">
            <v>区社会事业局</v>
          </cell>
          <cell r="D32" t="str">
            <v>区公建中心</v>
          </cell>
          <cell r="E32" t="str">
            <v>本工程位于珠海市高新区科技四路北侧、万科红树东岸西侧，项目占地面积约42,756.89平方米，总建筑面积约39679.29平方米。工程内容包括基坑支护工程、土建工程（含基础、 结构、建筑等）、人防工程、安装工程（含给排水、电气、智能化、消防、通风等）、电梯工程、抗震支架工、室外工程（含景观、绿化、道路、围墙、室外电器、室外给排水等）、海绵城市等。</v>
          </cell>
          <cell r="F32">
            <v>21559.66</v>
          </cell>
          <cell r="G32" t="str">
            <v>2022-2024</v>
          </cell>
          <cell r="H32" t="str">
            <v>续建</v>
          </cell>
          <cell r="I32" t="str">
            <v>珠高发投审〔2022〕10号</v>
          </cell>
          <cell r="J32">
            <v>21559.66</v>
          </cell>
          <cell r="K32">
            <v>6000</v>
          </cell>
          <cell r="L32">
            <v>7000</v>
          </cell>
          <cell r="M32">
            <v>7000</v>
          </cell>
          <cell r="N32">
            <v>0</v>
          </cell>
          <cell r="O32">
            <v>4800</v>
          </cell>
          <cell r="P32">
            <v>2200</v>
          </cell>
          <cell r="Q32">
            <v>1</v>
          </cell>
          <cell r="R32">
            <v>5000</v>
          </cell>
        </row>
        <row r="33">
          <cell r="B33" t="str">
            <v>珠海高新区海怡湾畔小学及配套市民停车场新建工程</v>
          </cell>
          <cell r="C33" t="str">
            <v>区社会事业局</v>
          </cell>
          <cell r="D33" t="str">
            <v>区公建中心</v>
          </cell>
          <cell r="E33" t="str">
            <v>项目规划暂定用地面积：13232.83平方米，建设规模为24班完全小学，提供1080个小学学位。项目总建筑面积约为27499.50平方米,其中地上建筑面积18532.25平方米，主要功能包括教学楼、体育馆及配套设施综合楼；地下室建筑面积8967.25平方米，主要功能包括人防地下车库、消防水池及水泵房等。</v>
          </cell>
          <cell r="F33">
            <v>16751</v>
          </cell>
          <cell r="G33" t="str">
            <v>2021-2024</v>
          </cell>
          <cell r="H33" t="str">
            <v>续建</v>
          </cell>
          <cell r="I33" t="str">
            <v>珠高发投审〔2022〕16号</v>
          </cell>
          <cell r="J33">
            <v>16751</v>
          </cell>
          <cell r="K33">
            <v>2000</v>
          </cell>
          <cell r="L33">
            <v>2600</v>
          </cell>
          <cell r="M33">
            <v>2600</v>
          </cell>
          <cell r="N33">
            <v>0</v>
          </cell>
          <cell r="O33">
            <v>1600</v>
          </cell>
          <cell r="P33">
            <v>1000</v>
          </cell>
          <cell r="Q33">
            <v>2</v>
          </cell>
          <cell r="R33">
            <v>2600</v>
          </cell>
        </row>
        <row r="34">
          <cell r="B34" t="str">
            <v>珠海高新区北沙片区幼儿园新建工程</v>
          </cell>
          <cell r="C34" t="str">
            <v>区社会事业局</v>
          </cell>
          <cell r="D34" t="str">
            <v>九洲建投</v>
          </cell>
          <cell r="E34" t="str">
            <v>项目建设用地面积5178平方米，建设内容为建设1所15班规范化幼儿园，可提供450个学位。建设内容包括教学综合楼、室外运动场地等。</v>
          </cell>
          <cell r="F34">
            <v>5562.55</v>
          </cell>
          <cell r="G34" t="str">
            <v>2023-2024</v>
          </cell>
          <cell r="H34" t="str">
            <v>续建</v>
          </cell>
          <cell r="I34" t="str">
            <v>珠高发投审[2022]58号</v>
          </cell>
          <cell r="J34">
            <v>5562.55</v>
          </cell>
          <cell r="K34">
            <v>782</v>
          </cell>
          <cell r="L34">
            <v>1000</v>
          </cell>
          <cell r="M34">
            <v>1000</v>
          </cell>
          <cell r="N34">
            <v>0</v>
          </cell>
          <cell r="O34">
            <v>0</v>
          </cell>
          <cell r="P34">
            <v>1000</v>
          </cell>
          <cell r="Q34">
            <v>3</v>
          </cell>
          <cell r="R34">
            <v>617</v>
          </cell>
        </row>
        <row r="35">
          <cell r="B35" t="str">
            <v>珠海高新区那洲片区幼儿园新建工程</v>
          </cell>
          <cell r="C35" t="str">
            <v>区社会事业局</v>
          </cell>
          <cell r="D35" t="str">
            <v>九洲建投</v>
          </cell>
          <cell r="E35" t="str">
            <v>项目建设用地面积5000平方米，建设内容为建设1所15班规范化幼儿园，可提供450个学位。建设内容包括教学综合楼、室外运动场地等。</v>
          </cell>
          <cell r="F35">
            <v>5499.62</v>
          </cell>
          <cell r="G35" t="str">
            <v>2023-2024</v>
          </cell>
          <cell r="H35" t="str">
            <v>续建</v>
          </cell>
          <cell r="I35" t="str">
            <v>珠高发投审[2022]57号</v>
          </cell>
          <cell r="J35">
            <v>5499.62</v>
          </cell>
          <cell r="K35">
            <v>779</v>
          </cell>
          <cell r="L35">
            <v>1000</v>
          </cell>
          <cell r="M35">
            <v>1000</v>
          </cell>
          <cell r="N35">
            <v>0</v>
          </cell>
          <cell r="O35">
            <v>0</v>
          </cell>
          <cell r="P35">
            <v>1000</v>
          </cell>
          <cell r="Q35">
            <v>4</v>
          </cell>
        </row>
        <row r="36">
          <cell r="B36" t="str">
            <v>珠海市人民医院医疗集团高新医院（珠海高新区人民医院）信息化建设项目</v>
          </cell>
          <cell r="C36" t="str">
            <v>区社会事业局</v>
          </cell>
          <cell r="D36" t="str">
            <v>区社会事业局/区人民医院</v>
          </cell>
          <cell r="E36" t="str">
            <v>本工程位于珠海市高新区，项目建设内容涵盖就医服务、临床诊疗、临床护理、药事管理、医技业务、医疗管理和数据中心、网络系统、信息安全系统等配套基础设施。以信息平台建设为基础，搭建临床数据中心和运营数据中心，构建以诊疗为主线、电子病历为核心、患者服务为中心的医院信息化系统，推动移动护理、移动查房、电子签名无纸化管理等系统的运用，实现系统间的互联互通，实现临床数据和运营数据的应用。通过本项目医院整体信息化可达到 80%以上覆盖率的建设规模,基本建成智慧服务、智慧医疗、智慧管理“三位一体”的智慧医院信息化系统。</v>
          </cell>
          <cell r="F36">
            <v>1605.89</v>
          </cell>
          <cell r="G36" t="str">
            <v>2023-2025</v>
          </cell>
          <cell r="H36" t="str">
            <v>续建</v>
          </cell>
          <cell r="I36" t="str">
            <v>珠高发投审〔2023〕8号</v>
          </cell>
          <cell r="J36">
            <v>957.815</v>
          </cell>
          <cell r="K36">
            <v>482.3</v>
          </cell>
          <cell r="L36">
            <v>482.3</v>
          </cell>
          <cell r="M36">
            <v>482.3</v>
          </cell>
          <cell r="N36">
            <v>0</v>
          </cell>
          <cell r="O36">
            <v>206.7</v>
          </cell>
          <cell r="P36">
            <v>275.6</v>
          </cell>
          <cell r="Q36">
            <v>5</v>
          </cell>
        </row>
        <row r="37">
          <cell r="B37" t="str">
            <v>珠海高新区人民医院北围院区新建工程（一期）</v>
          </cell>
          <cell r="C37" t="str">
            <v>区社会事业局</v>
          </cell>
          <cell r="D37" t="str">
            <v>高新建投</v>
          </cell>
          <cell r="E37" t="str">
            <v>项目位于珠海市高新区北围片区新湾八路西、新沙六路北侧。本项目按照1000张床位规模规划建设，占地面积为57009.82㎡，总建筑面积为203530.68㎡，地上建筑面积为123060.00㎡，地下建筑面积为80470.68㎡。主要建设内容包括新建1栋门急诊医技住院综合楼、1栋健康管理中心及科研行政综合楼、液氧站、污水处理站、地下室、配套公用工程、室外工程等。</v>
          </cell>
          <cell r="F37">
            <v>178973.23</v>
          </cell>
          <cell r="G37" t="str">
            <v>2022-2026</v>
          </cell>
          <cell r="H37" t="str">
            <v>续建</v>
          </cell>
          <cell r="I37" t="str">
            <v>珠高发投审〔2023〕13号</v>
          </cell>
          <cell r="J37">
            <v>70299.06</v>
          </cell>
          <cell r="K37">
            <v>69581.1764705882</v>
          </cell>
          <cell r="L37">
            <v>59144</v>
          </cell>
          <cell r="M37">
            <v>59144</v>
          </cell>
          <cell r="N37">
            <v>0</v>
          </cell>
          <cell r="O37">
            <v>45572</v>
          </cell>
          <cell r="P37">
            <v>13572</v>
          </cell>
          <cell r="Q37">
            <v>6</v>
          </cell>
        </row>
        <row r="38">
          <cell r="B38" t="str">
            <v>卢氏孖祠修缮工程</v>
          </cell>
          <cell r="C38" t="str">
            <v>区社会事业局</v>
          </cell>
          <cell r="D38" t="str">
            <v>高新基建</v>
          </cell>
          <cell r="E38" t="str">
            <v>卢氏孖祠主座地面、墙壁、屋顶修缮。</v>
          </cell>
          <cell r="F38">
            <v>458.34</v>
          </cell>
          <cell r="G38" t="str">
            <v>2022-2024</v>
          </cell>
          <cell r="H38" t="str">
            <v>续建</v>
          </cell>
          <cell r="I38" t="str">
            <v>珠高发投〔2023〕27号</v>
          </cell>
          <cell r="J38">
            <v>458.34</v>
          </cell>
          <cell r="K38">
            <v>440</v>
          </cell>
          <cell r="L38">
            <v>375</v>
          </cell>
          <cell r="M38">
            <v>375</v>
          </cell>
          <cell r="N38">
            <v>0</v>
          </cell>
          <cell r="O38">
            <v>374</v>
          </cell>
          <cell r="P38">
            <v>1</v>
          </cell>
          <cell r="Q38">
            <v>7</v>
          </cell>
          <cell r="R38">
            <v>370</v>
          </cell>
        </row>
        <row r="39">
          <cell r="B39" t="str">
            <v>珠海市高新区不可移动文物（上栅那洲片区）修缮项目</v>
          </cell>
          <cell r="C39" t="str">
            <v>区社会事业局</v>
          </cell>
          <cell r="D39" t="str">
            <v>高新基建</v>
          </cell>
          <cell r="E39" t="str">
            <v>本工程主要对上栅那洲片区的不可移动文物：上栅易初卢公祠、那洲炮楼、清晓古公祠（详见下表）进行修缮。文物本体面积合共约1400平方米。包括但不限于墙体、地面、屋面、木构件、石作构件、砖作构件、灰塑。本项目总投资约863万。</v>
          </cell>
          <cell r="F39">
            <v>459.22</v>
          </cell>
          <cell r="G39" t="str">
            <v>2022-2024</v>
          </cell>
          <cell r="H39" t="str">
            <v>续建</v>
          </cell>
          <cell r="I39" t="str">
            <v>珠高发投[2023]15号</v>
          </cell>
          <cell r="J39">
            <v>379.3</v>
          </cell>
          <cell r="K39">
            <v>340</v>
          </cell>
          <cell r="L39">
            <v>288</v>
          </cell>
          <cell r="M39">
            <v>288</v>
          </cell>
          <cell r="N39">
            <v>0</v>
          </cell>
          <cell r="O39">
            <v>286.5</v>
          </cell>
          <cell r="P39">
            <v>1.5</v>
          </cell>
          <cell r="Q39">
            <v>8</v>
          </cell>
          <cell r="R39">
            <v>280</v>
          </cell>
        </row>
        <row r="40">
          <cell r="B40" t="str">
            <v>珠海市高新区不可移动文物（唐家鸡山淇澳片区）修缮项目</v>
          </cell>
          <cell r="C40" t="str">
            <v>区社会事业局</v>
          </cell>
          <cell r="D40" t="str">
            <v>高新基建</v>
          </cell>
          <cell r="E40" t="str">
            <v>对唐家鸡山淇澳片区的不可移动文物：翠屏唐公祠、月奇梁公祠、淇澳文昌宫、唐家龙岗古庙、佩玉梁公祠、鸡山武侯庙、唐家古围墙进行修缮。文物本体面积合共约1380平方米。对文物本体的墙面、屋面、地面、木石作构件、灰塑构件进行修缮。</v>
          </cell>
          <cell r="F40">
            <v>767.72</v>
          </cell>
          <cell r="G40" t="str">
            <v>2022-2024</v>
          </cell>
          <cell r="H40" t="str">
            <v>续建</v>
          </cell>
          <cell r="I40" t="str">
            <v>珠高发投[2023]16号</v>
          </cell>
          <cell r="J40">
            <v>622.1</v>
          </cell>
          <cell r="K40">
            <v>322.1</v>
          </cell>
          <cell r="L40">
            <v>272</v>
          </cell>
          <cell r="M40">
            <v>272</v>
          </cell>
          <cell r="N40">
            <v>0</v>
          </cell>
          <cell r="O40">
            <v>270</v>
          </cell>
          <cell r="P40">
            <v>2</v>
          </cell>
          <cell r="Q40">
            <v>9</v>
          </cell>
          <cell r="R40">
            <v>270</v>
          </cell>
        </row>
        <row r="41">
          <cell r="B41" t="str">
            <v>珠海市高新区AI产业创新中心片区标准厂房项目</v>
          </cell>
          <cell r="C41" t="str">
            <v>区科技产业局</v>
          </cell>
          <cell r="D41" t="str">
            <v>高新基建</v>
          </cell>
          <cell r="E41" t="str">
            <v>项目占地面积为152273.54㎡，总建筑面积为570334.34㎡。其中，地上建筑面积为475342.76平方米，地下建筑面积为94991.58平方米。工程建设包含5栋生物制药厂房，2栋高标准厂房，3栋医疗器械厂房，8栋研发厂房，1栋甲类库房，1栋废水处理站，其中 1、2、4 号地块带地下室，3号地块无地下室。项目主要建设内容包括厂房、宿舍及食堂、开关房等，项目以生物医药、医疗器械产业为核心，建成后主要用于智能医疗器 械设备、生物医药、生物制剂等产品的生产。</v>
          </cell>
          <cell r="F41">
            <v>214880</v>
          </cell>
          <cell r="G41" t="str">
            <v>2022-2024</v>
          </cell>
          <cell r="H41" t="str">
            <v>续建</v>
          </cell>
          <cell r="I41" t="str">
            <v>珠高发投审[2022]63号</v>
          </cell>
          <cell r="J41">
            <v>214880</v>
          </cell>
          <cell r="K41">
            <v>35696</v>
          </cell>
          <cell r="L41">
            <v>42793.495425</v>
          </cell>
          <cell r="M41">
            <v>42793.495425</v>
          </cell>
          <cell r="N41">
            <v>0</v>
          </cell>
          <cell r="O41">
            <v>42124.495425</v>
          </cell>
          <cell r="P41">
            <v>669</v>
          </cell>
          <cell r="Q41">
            <v>1</v>
          </cell>
        </row>
        <row r="42">
          <cell r="B42" t="str">
            <v>珠海市高新区淇澳岛中心河排洪渠项目改建工程</v>
          </cell>
          <cell r="C42" t="str">
            <v>唐家湾镇政府</v>
          </cell>
          <cell r="D42" t="str">
            <v>高新基建</v>
          </cell>
          <cell r="E42" t="str">
            <v>本项目位于珠海市高新区淇澳岛，总长度约1.17km。主要建设内容包含：照明工程、绿化工程、支护工程等。</v>
          </cell>
          <cell r="F42">
            <v>3680</v>
          </cell>
          <cell r="G42" t="str">
            <v>2022-2024</v>
          </cell>
          <cell r="H42" t="str">
            <v>续建</v>
          </cell>
          <cell r="I42" t="str">
            <v>珠高发投审〔2023〕6号</v>
          </cell>
          <cell r="J42">
            <v>2595.325</v>
          </cell>
          <cell r="K42">
            <v>1500</v>
          </cell>
          <cell r="L42">
            <v>1200</v>
          </cell>
          <cell r="M42">
            <v>1200</v>
          </cell>
          <cell r="N42">
            <v>0</v>
          </cell>
          <cell r="O42">
            <v>1021</v>
          </cell>
          <cell r="P42">
            <v>179</v>
          </cell>
          <cell r="Q42">
            <v>1</v>
          </cell>
        </row>
        <row r="43">
          <cell r="B43" t="str">
            <v>珠海市高新区实景三维数据建设项目</v>
          </cell>
          <cell r="C43" t="str">
            <v>区党政办（政数局）</v>
          </cell>
          <cell r="D43" t="str">
            <v>区党政办（政数局）</v>
          </cell>
          <cell r="E43" t="str">
            <v>建成基础数据库，构建城市数字底座与数据呈现工具，具体可概括为：
（1）通过收集、整理高新区三维数据等城市信息，全力推进珠海高新区覆盖约175平方公里的城市实景三维成果，模型精度整体优于5cm，重点区域优于3cm，实现高新区实景三维模型全覆盖，满足城市各类智慧应用对实景三维数据的需求。
（2）建设数据呈现工具，嵌入时空信息管理平台，构建城市数字底座，形成面向政府部门、内容全面、更新及时、权威准确的城市基础信息平台。
实现高新区实景三维模型全覆盖，满足城市各类智慧应用对实景三维数据的需求。</v>
          </cell>
          <cell r="F43">
            <v>663.11</v>
          </cell>
          <cell r="G43" t="str">
            <v>2023-2024</v>
          </cell>
          <cell r="H43" t="str">
            <v>续建</v>
          </cell>
          <cell r="I43" t="str">
            <v>/</v>
          </cell>
          <cell r="J43">
            <v>600.624</v>
          </cell>
          <cell r="K43">
            <v>404.266</v>
          </cell>
          <cell r="L43">
            <v>404.27</v>
          </cell>
          <cell r="M43">
            <v>404.27</v>
          </cell>
          <cell r="N43">
            <v>0</v>
          </cell>
          <cell r="O43">
            <v>156.22</v>
          </cell>
          <cell r="P43">
            <v>248.05</v>
          </cell>
          <cell r="Q43">
            <v>1</v>
          </cell>
        </row>
      </sheetData>
      <sheetData sheetId="4">
        <row r="3">
          <cell r="N3" t="str">
            <v>单位：万元</v>
          </cell>
        </row>
        <row r="4">
          <cell r="B4" t="str">
            <v>项目名称</v>
          </cell>
          <cell r="C4" t="str">
            <v>牵头责任单位</v>
          </cell>
          <cell r="D4" t="str">
            <v>建设
单位</v>
          </cell>
          <cell r="E4" t="str">
            <v>建设内容及规模</v>
          </cell>
          <cell r="F4" t="str">
            <v>总投资</v>
          </cell>
          <cell r="G4" t="str">
            <v>预计开工时间</v>
          </cell>
          <cell r="H4" t="str">
            <v>建设起止年限</v>
          </cell>
          <cell r="I4" t="str">
            <v>建设性质</v>
          </cell>
          <cell r="J4" t="str">
            <v>立项批复文号</v>
          </cell>
          <cell r="K4" t="str">
            <v>预计累计至2024年底完成投资额</v>
          </cell>
          <cell r="L4" t="str">
            <v>投资计划</v>
          </cell>
          <cell r="M4" t="str">
            <v>资金计划</v>
          </cell>
        </row>
        <row r="4">
          <cell r="P4" t="str">
            <v>上半年资金计划</v>
          </cell>
          <cell r="Q4" t="str">
            <v>下半年资金计划</v>
          </cell>
          <cell r="R4" t="str">
            <v>项目紧迫性排序（1，2..）</v>
          </cell>
          <cell r="S4" t="str">
            <v>项目建设必要性（概括一下）</v>
          </cell>
          <cell r="T4" t="str">
            <v>资金落实</v>
          </cell>
        </row>
        <row r="5">
          <cell r="M5" t="str">
            <v>合计</v>
          </cell>
          <cell r="N5" t="str">
            <v>区财政</v>
          </cell>
          <cell r="O5" t="str">
            <v>其他</v>
          </cell>
        </row>
        <row r="5">
          <cell r="T5" t="str">
            <v>合计</v>
          </cell>
        </row>
        <row r="6">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row>
        <row r="7">
          <cell r="F7">
            <v>204134.94</v>
          </cell>
        </row>
        <row r="7">
          <cell r="K7">
            <v>117136.462352941</v>
          </cell>
          <cell r="L7">
            <v>114458.892352941</v>
          </cell>
          <cell r="M7">
            <v>95971.82</v>
          </cell>
          <cell r="N7">
            <v>77971.82</v>
          </cell>
          <cell r="O7">
            <v>18000</v>
          </cell>
          <cell r="P7">
            <v>36262</v>
          </cell>
          <cell r="Q7">
            <v>41424.82</v>
          </cell>
        </row>
        <row r="7">
          <cell r="T7">
            <v>12700</v>
          </cell>
        </row>
        <row r="8">
          <cell r="B8" t="str">
            <v>淇澳环岛路（东线）改造工程</v>
          </cell>
          <cell r="C8" t="str">
            <v>区住房城乡建设局</v>
          </cell>
          <cell r="D8" t="str">
            <v>区公建中心</v>
          </cell>
          <cell r="E8" t="str">
            <v>本工程位于珠海市高新区淇澳岛，本项目概况如下：道路南起淇澳大桥衔接段，北至淇澳大道，道路设计长度为4522.183m，道路红线宽度为40～50m，双向四车道，设计时速60km/h。其中道路右半幅为现状，本次新建左幅机动车道及慢行道并新建（KK3+746.210～K4+522.183）段右半幅新建2m宽人行道。工程建设内容包括：道路工程、管线工程、桥涵工程、照明工程、景观工程、海绵城市、交通设施、安监设施等，其中管线工程近期保留现状管线，按规划预留给水、雨水、污水、缆线管廊（电力及通信）、110kV及燃气管位。本次管线工程主要对道路改造范围内管线检查井、雨水口、消火栓进行改造，并完善道路海绵城市建设。</v>
          </cell>
          <cell r="F8">
            <v>9320.92</v>
          </cell>
          <cell r="G8">
            <v>45261</v>
          </cell>
          <cell r="H8" t="str">
            <v>2023-2024</v>
          </cell>
          <cell r="I8" t="str">
            <v>新建</v>
          </cell>
          <cell r="J8" t="str">
            <v>珠高发投审〔2023〕23号</v>
          </cell>
          <cell r="K8">
            <v>9320.92</v>
          </cell>
          <cell r="L8">
            <v>9320.92</v>
          </cell>
          <cell r="M8">
            <v>7000</v>
          </cell>
          <cell r="N8">
            <v>7000</v>
          </cell>
          <cell r="O8">
            <v>0</v>
          </cell>
          <cell r="P8">
            <v>6000</v>
          </cell>
          <cell r="Q8">
            <v>1000</v>
          </cell>
          <cell r="R8">
            <v>1</v>
          </cell>
          <cell r="S8" t="str">
            <v>已完成施工招标，解决节假日进出淇澳岛堵塞问题。</v>
          </cell>
        </row>
        <row r="9">
          <cell r="B9" t="str">
            <v>珠海高新区北沙幼儿园周边道路新建工程</v>
          </cell>
          <cell r="C9" t="str">
            <v>区住房城乡建设局</v>
          </cell>
          <cell r="D9" t="str">
            <v>区公建中心</v>
          </cell>
          <cell r="E9" t="str">
            <v>项目位于高新区北沙社区，主要建设内容：新建3条支路，双向两车道，设计总长度约930米。主要工程内容：道路工程、给水工程、污水工程、雨水工程、照明工程、绿化景观工程、交通设施、缆线管廊工程等。</v>
          </cell>
          <cell r="F9">
            <v>3500</v>
          </cell>
          <cell r="G9">
            <v>45383</v>
          </cell>
          <cell r="H9" t="str">
            <v>2023-2024</v>
          </cell>
          <cell r="I9" t="str">
            <v>新建</v>
          </cell>
          <cell r="J9" t="str">
            <v>/</v>
          </cell>
          <cell r="K9">
            <v>1600</v>
          </cell>
          <cell r="L9">
            <v>1600</v>
          </cell>
          <cell r="M9">
            <v>1360</v>
          </cell>
          <cell r="N9">
            <v>1360</v>
          </cell>
          <cell r="O9">
            <v>0</v>
          </cell>
          <cell r="P9">
            <v>700</v>
          </cell>
          <cell r="Q9">
            <v>900</v>
          </cell>
          <cell r="R9">
            <v>2</v>
          </cell>
          <cell r="S9" t="str">
            <v>北沙幼儿园预计明年9月开学，本项目解决幼儿园师生、家长通行问题。</v>
          </cell>
        </row>
        <row r="10">
          <cell r="B10" t="str">
            <v>珠海高新区那洲中学东侧道路新建工程</v>
          </cell>
          <cell r="C10" t="str">
            <v>区住房城乡建设局</v>
          </cell>
          <cell r="D10" t="str">
            <v>区公建中心</v>
          </cell>
          <cell r="E10" t="str">
            <v>本工程位于珠海市唐家湾镇那洲村，道路北起金唐西路（X=1013329.535，Y=395437.446），南至纳水北环路（（X=1012867.829，Y=395843.758）。道路设计全长738.53米，为城市次干路，道路宽度为24m，双向四车道。主要工程内容：道路工程、污水工程、雨水工程、给水工程、电缆沟工程、通信管沟工程、照明工程、海绵城市、交通工程、安监工程、燃气预留及绿化工程。</v>
          </cell>
          <cell r="F10">
            <v>4504.42</v>
          </cell>
          <cell r="G10">
            <v>45413</v>
          </cell>
          <cell r="H10" t="str">
            <v>2023-2024</v>
          </cell>
          <cell r="I10" t="str">
            <v>新建</v>
          </cell>
          <cell r="J10" t="str">
            <v>/</v>
          </cell>
          <cell r="K10">
            <v>2613.5</v>
          </cell>
          <cell r="L10">
            <v>2613.5</v>
          </cell>
          <cell r="M10">
            <v>2134.32</v>
          </cell>
          <cell r="N10">
            <v>2134.32</v>
          </cell>
          <cell r="O10">
            <v>0</v>
          </cell>
          <cell r="P10">
            <v>800</v>
          </cell>
          <cell r="Q10">
            <v>1334.32</v>
          </cell>
          <cell r="R10">
            <v>3</v>
          </cell>
          <cell r="S10" t="str">
            <v>那洲幼儿园、那洲小学预计明年9月开学，解决学校师生、家长通行问题。</v>
          </cell>
        </row>
        <row r="11">
          <cell r="B11" t="str">
            <v>珠海高新区那洲小学周边配套道路新建工程</v>
          </cell>
          <cell r="C11" t="str">
            <v>区住房城乡建设局</v>
          </cell>
          <cell r="D11" t="str">
            <v>区公建中心</v>
          </cell>
          <cell r="E11" t="str">
            <v>建设内容主要包括那东一路、那东二路、那洲东路（那东一路至纳水北环路段）等3条新建市政道路，其中那东一路为新建支路，规划宽度为18米，双向两车道，设计长度为229米；那东二路为新建支路，规划宽度为18米，双向两车道，设计长度为211米；那洲东路（那东一路至澳科大西路段）为新建次干路，规划宽度为24米，双向四车道，设计长度为396米。</v>
          </cell>
          <cell r="F11">
            <v>4566.55</v>
          </cell>
          <cell r="G11">
            <v>45383</v>
          </cell>
          <cell r="H11" t="str">
            <v>2023-2024</v>
          </cell>
          <cell r="I11" t="str">
            <v>新建</v>
          </cell>
          <cell r="J11" t="str">
            <v>/</v>
          </cell>
          <cell r="K11">
            <v>4566.55</v>
          </cell>
          <cell r="L11">
            <v>4566.55</v>
          </cell>
          <cell r="M11">
            <v>3800</v>
          </cell>
          <cell r="N11">
            <v>3800</v>
          </cell>
          <cell r="O11">
            <v>0</v>
          </cell>
          <cell r="P11">
            <v>1200</v>
          </cell>
          <cell r="Q11">
            <v>2600</v>
          </cell>
          <cell r="R11">
            <v>4</v>
          </cell>
          <cell r="S11" t="str">
            <v>那洲幼儿园、那洲小学预计明年9月开学，解决学校师生、家长通行问题。</v>
          </cell>
        </row>
        <row r="12">
          <cell r="B12" t="str">
            <v>高新区金唐西路北侧、官塘村西侧地块区域整治工程</v>
          </cell>
          <cell r="C12" t="str">
            <v>区住房城乡建设局</v>
          </cell>
          <cell r="D12" t="str">
            <v>高新基建</v>
          </cell>
          <cell r="E12" t="str">
            <v>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v>
          </cell>
          <cell r="F12">
            <v>3084.9</v>
          </cell>
          <cell r="G12">
            <v>45352</v>
          </cell>
          <cell r="H12" t="str">
            <v>2023-2024</v>
          </cell>
          <cell r="I12" t="str">
            <v>新建</v>
          </cell>
          <cell r="J12" t="str">
            <v>/</v>
          </cell>
          <cell r="K12">
            <v>2850</v>
          </cell>
          <cell r="L12">
            <v>2850</v>
          </cell>
          <cell r="M12">
            <v>2422.5</v>
          </cell>
          <cell r="N12">
            <v>2422.5</v>
          </cell>
          <cell r="O12">
            <v>0</v>
          </cell>
          <cell r="P12">
            <v>1500</v>
          </cell>
          <cell r="Q12">
            <v>922.5</v>
          </cell>
          <cell r="R12">
            <v>5</v>
          </cell>
          <cell r="S12" t="str">
            <v>该地块已挂牌出让，现状用地范围内存在高压线、配电站、信号塔等建筑影响项目建设，需进行清理、迁改。</v>
          </cell>
        </row>
        <row r="13">
          <cell r="B13" t="str">
            <v>珠海高新区那洲片区小学新建工程</v>
          </cell>
          <cell r="C13" t="str">
            <v>区社会事业局</v>
          </cell>
          <cell r="D13" t="str">
            <v>区公建中心</v>
          </cell>
          <cell r="E13" t="str">
            <v>珠海高新区那洲片区小学新建工程项目位于珠海市高新区那洲东路（次干路）以东，那东一路（支路）以南。项目用地面积：29378.97平方米，建设规模为36班完全小学，提供1620个小学学位。项目总建筑面积约为27197平方米,其中地上建筑面积23041平方米，主要功能包括教学楼、体育馆及配套设施综合楼；地下室建筑面积4156平方米，主要功能包括人防地下车库、消防水池及水泵房等。</v>
          </cell>
          <cell r="F13">
            <v>15948.78</v>
          </cell>
          <cell r="G13">
            <v>45292</v>
          </cell>
          <cell r="H13" t="str">
            <v>2023-2024</v>
          </cell>
          <cell r="I13" t="str">
            <v>新建</v>
          </cell>
          <cell r="J13" t="str">
            <v>珠高发投审〔2023〕20号</v>
          </cell>
          <cell r="K13">
            <v>12000</v>
          </cell>
          <cell r="L13">
            <v>12000</v>
          </cell>
          <cell r="M13">
            <v>9600</v>
          </cell>
          <cell r="N13">
            <v>9600</v>
          </cell>
          <cell r="O13">
            <v>0</v>
          </cell>
          <cell r="P13">
            <v>4500</v>
          </cell>
          <cell r="Q13">
            <v>5100</v>
          </cell>
          <cell r="R13">
            <v>6</v>
          </cell>
          <cell r="S13" t="str">
            <v>区管委会要求明年9月份开学，本项目解决那洲、永丰片区学生入学问题。</v>
          </cell>
          <cell r="T13">
            <v>6000</v>
          </cell>
        </row>
        <row r="14">
          <cell r="B14" t="str">
            <v>珠海市高新区中山东部外环（二期）南延段管线迁改工程</v>
          </cell>
          <cell r="C14" t="str">
            <v>区住房城乡建设局</v>
          </cell>
          <cell r="D14" t="str">
            <v>珠海华昕开发建设有限公司</v>
          </cell>
          <cell r="E14" t="str">
            <v>项目实施内容结合中山东部外环（二期）南延段设计范围（中珠渠以南），对受桥墩影响的管线进行迁改，主要包括给水管线、电力、通信、国防光缆等迁改工程以及配套附属设施（人行道及绿化拆除恢复）等。</v>
          </cell>
          <cell r="F14">
            <v>3000</v>
          </cell>
          <cell r="G14">
            <v>45444</v>
          </cell>
          <cell r="H14" t="str">
            <v>2024-2025</v>
          </cell>
          <cell r="I14" t="str">
            <v>新建</v>
          </cell>
          <cell r="J14" t="str">
            <v>/</v>
          </cell>
          <cell r="K14">
            <v>2100</v>
          </cell>
          <cell r="L14">
            <v>2100</v>
          </cell>
          <cell r="M14">
            <v>1600</v>
          </cell>
          <cell r="N14">
            <v>1600</v>
          </cell>
          <cell r="O14">
            <v>0</v>
          </cell>
          <cell r="P14">
            <v>0</v>
          </cell>
          <cell r="Q14">
            <v>1600</v>
          </cell>
          <cell r="R14">
            <v>7</v>
          </cell>
          <cell r="S14" t="str">
            <v>中山东部外环高速公路项目，为深中通道重要连接线工程，纳入省重点项目。本项目管线迁改工程为该项目先行工程。</v>
          </cell>
        </row>
        <row r="15">
          <cell r="B15" t="str">
            <v>珠海市金鼎中学学生宿舍楼新建工程</v>
          </cell>
          <cell r="C15" t="str">
            <v>区社会事业局</v>
          </cell>
          <cell r="D15" t="str">
            <v>高新基建</v>
          </cell>
          <cell r="E15" t="str">
            <v>新建2栋学生宿舍楼及连廊，总建筑面积约为16500 ㎡，含学生宿舍楼学生宿舍 (2-6F):10400 ㎡，食堂(1F)3000 m2，1600 床，地下建筑面积3100㎡。层数6层2栋，建筑高度 23.95M，设置地下停车位50个。</v>
          </cell>
          <cell r="F15">
            <v>8000</v>
          </cell>
          <cell r="G15">
            <v>45413</v>
          </cell>
          <cell r="H15" t="str">
            <v>2023-2024</v>
          </cell>
          <cell r="I15" t="str">
            <v>新建</v>
          </cell>
          <cell r="J15" t="str">
            <v>/</v>
          </cell>
          <cell r="K15">
            <v>2952.94117647059</v>
          </cell>
          <cell r="L15">
            <v>2952.94117647059</v>
          </cell>
          <cell r="M15">
            <v>2510</v>
          </cell>
          <cell r="N15">
            <v>2510</v>
          </cell>
          <cell r="O15">
            <v>0</v>
          </cell>
          <cell r="P15">
            <v>575</v>
          </cell>
          <cell r="Q15">
            <v>1935</v>
          </cell>
          <cell r="R15">
            <v>8</v>
          </cell>
          <cell r="S15" t="str">
            <v>区领导督办事项，要在高新区打造寄宿制初中试点，提高初中综合水平。</v>
          </cell>
          <cell r="T15">
            <v>1000</v>
          </cell>
        </row>
        <row r="16">
          <cell r="B16" t="str">
            <v>珠海高新区礼和小学运动场改建工程</v>
          </cell>
          <cell r="C16" t="str">
            <v>区社会事业局</v>
          </cell>
          <cell r="D16" t="str">
            <v>高新基建</v>
          </cell>
          <cell r="E16" t="str">
            <v>项目位于珠海北站西侧、金业南路北侧，计划将原礼和小学运动场改建，增加停车场配套，同时增加部分功能 室并加装电梯。</v>
          </cell>
          <cell r="F16">
            <v>2997.24</v>
          </cell>
          <cell r="G16">
            <v>45413</v>
          </cell>
          <cell r="H16" t="str">
            <v>2023-2024</v>
          </cell>
          <cell r="I16" t="str">
            <v>新建</v>
          </cell>
          <cell r="J16" t="str">
            <v>/</v>
          </cell>
          <cell r="K16">
            <v>2997.24</v>
          </cell>
          <cell r="L16">
            <v>2997.24</v>
          </cell>
          <cell r="M16">
            <v>2500</v>
          </cell>
          <cell r="N16">
            <v>2500</v>
          </cell>
          <cell r="O16">
            <v>0</v>
          </cell>
          <cell r="P16">
            <v>1067.5</v>
          </cell>
          <cell r="Q16">
            <v>1432.5</v>
          </cell>
          <cell r="R16">
            <v>9</v>
          </cell>
          <cell r="S16" t="str">
            <v>礼和小学场地凹凸不平，部分地方存在下陷问题，安全隐患大。</v>
          </cell>
          <cell r="T16">
            <v>1900</v>
          </cell>
        </row>
        <row r="17">
          <cell r="B17" t="str">
            <v>中山大学附属小学后环校区体育馆提升改造工程</v>
          </cell>
          <cell r="C17" t="str">
            <v>区社会事业局</v>
          </cell>
          <cell r="D17" t="str">
            <v>高华城资</v>
          </cell>
          <cell r="E17" t="str">
            <v>项目位于珠海市高新区中山大学附属小学后环校区内，建筑主体为室内体育馆，地上一层，塔楼三层，建筑高度为13.5米，建筑面积2802.65平方米，二级耐火等级，单多层建筑。首层设体育馆、游泳馆，塔楼二层设舞蹈室、三层设设备控制室。主要建设内容为：新建游泳池工程、室内装饰装修工程、电气工程、给排水工程、暖通工程等。</v>
          </cell>
          <cell r="F17">
            <v>654.8</v>
          </cell>
          <cell r="G17">
            <v>45444</v>
          </cell>
          <cell r="H17" t="str">
            <v>2022-2024</v>
          </cell>
          <cell r="I17" t="str">
            <v>新建</v>
          </cell>
          <cell r="J17" t="str">
            <v>/</v>
          </cell>
          <cell r="K17">
            <v>654.8</v>
          </cell>
          <cell r="L17">
            <v>654.8</v>
          </cell>
          <cell r="M17">
            <v>520</v>
          </cell>
          <cell r="N17">
            <v>520</v>
          </cell>
          <cell r="O17">
            <v>0</v>
          </cell>
          <cell r="P17">
            <v>260</v>
          </cell>
          <cell r="Q17">
            <v>260</v>
          </cell>
          <cell r="R17">
            <v>10</v>
          </cell>
          <cell r="S17" t="str">
            <v>中山大学附属小学后环校区运动场场地不足，体育馆移交后，一直处于漏水、失修状态，需要改造提升。</v>
          </cell>
          <cell r="T17">
            <v>300</v>
          </cell>
        </row>
        <row r="18">
          <cell r="B18" t="str">
            <v>珠海市高新区金珠路东侧保障性租赁住房新建工程</v>
          </cell>
          <cell r="C18" t="str">
            <v>区住房城乡建设局</v>
          </cell>
          <cell r="D18" t="str">
            <v>高新基建</v>
          </cell>
          <cell r="E18" t="str">
            <v>项目位于珠海市高新区南围片区中珠渠南路南侧、金珠路东侧。用地面积约7351㎡，总建筑面积30059.96平方米，计容建筑面积22053㎡。拟建设邻里中心及保障性租赁住房。</v>
          </cell>
          <cell r="F18">
            <v>17848.36</v>
          </cell>
          <cell r="G18">
            <v>45292</v>
          </cell>
          <cell r="H18" t="str">
            <v>2023-2025</v>
          </cell>
          <cell r="I18" t="str">
            <v>新建</v>
          </cell>
          <cell r="J18" t="str">
            <v>/</v>
          </cell>
          <cell r="K18">
            <v>11000</v>
          </cell>
          <cell r="L18">
            <v>10500</v>
          </cell>
          <cell r="M18">
            <v>9900</v>
          </cell>
          <cell r="N18">
            <v>9900</v>
          </cell>
          <cell r="O18">
            <v>0</v>
          </cell>
          <cell r="P18">
            <v>4459.5</v>
          </cell>
          <cell r="Q18">
            <v>5440.5</v>
          </cell>
          <cell r="R18">
            <v>11</v>
          </cell>
          <cell r="S18" t="str">
            <v>根据珠海高新技术产业开发区住房和城乡建设局提供数据，高新区2021-2022年底筹集公共租赁住房共1200套，保障性租赁住房1943套，共有产权住房493个，人才住房2222套。根据《珠海市住房保障专项规划（2021-2035）》、《珠海市住房发展“十四五”规划和二〇三五年远景目标纲要》中规划2025年高新区新增保障性租赁住房1万套，目前缺口8057套。</v>
          </cell>
        </row>
        <row r="19">
          <cell r="B19" t="str">
            <v>会同乡创文化中心及配套空间项目</v>
          </cell>
          <cell r="C19" t="str">
            <v>唐家湾镇政府</v>
          </cell>
          <cell r="D19" t="str">
            <v>高新基建</v>
          </cell>
          <cell r="E19" t="str">
            <v>该项目地处会同南路北侧国有空地，近临会同古村、会同那洲绿道环线入口，总用地面积约52000㎡。其中包含三个地块，地块一为文化活动用地，面积约16000㎡，计划建设游客服务中心、艺术中心等文化项目及配套停车场；地块二为商业用地，面积约5000㎡，拟调整村集体用地覆盖建设主题民宿及美食小街，增加村集体收益；地块三为公园绿地用地，面积约31000㎡，计划建设公园，可考虑帐篷露营营地。</v>
          </cell>
          <cell r="F19">
            <v>30996.32</v>
          </cell>
          <cell r="G19">
            <v>45261</v>
          </cell>
          <cell r="H19" t="str">
            <v>2023-2025</v>
          </cell>
          <cell r="I19" t="str">
            <v>新建</v>
          </cell>
          <cell r="J19" t="str">
            <v>/</v>
          </cell>
          <cell r="K19">
            <v>22000</v>
          </cell>
          <cell r="L19">
            <v>20000</v>
          </cell>
          <cell r="M19">
            <v>18000</v>
          </cell>
          <cell r="N19">
            <v>0</v>
          </cell>
          <cell r="O19">
            <v>18000</v>
          </cell>
          <cell r="P19">
            <v>9000</v>
          </cell>
          <cell r="Q19">
            <v>9000</v>
          </cell>
          <cell r="R19">
            <v>12</v>
          </cell>
          <cell r="S19" t="str">
            <v>项目的实施符合相关规划政策的要求,是贯彻落实乡村振兴战略的重要抓手,是破解城乡发展不平衡难题的重要举措,也是落实珠海市高新区唐家湾镇“大学小镇”文教艺术乡村振兴示范带规划的重要节点。项目的实施具有很好的社会效益,也具有间接的经济效益,能够有效地促进当地社会经济发展,也将为当地民俗、信仰、技艺、人文环境等非物质文化遗产的传承和发展提供重要的载体,促进当地积极探索以文化产业赋能乡村人文资源和自然资源保护利用,形成在活化中有坚守,在坚守中求发展的良性循环和发展新格局。因此,本项目建设是必要且迫切的。</v>
          </cell>
          <cell r="T19">
            <v>2000</v>
          </cell>
        </row>
        <row r="20">
          <cell r="B20" t="str">
            <v>高新区水环境综合整治2.0项目（第二批）</v>
          </cell>
          <cell r="C20" t="str">
            <v>区住房城乡建设局</v>
          </cell>
          <cell r="D20" t="str">
            <v>交通集团</v>
          </cell>
          <cell r="E20" t="str">
            <v>高新区水环境综合整治2.0项目（第二批）建设内容包括正本清源和排洪渠工程。其中，正本清源工程包括上下北村、下栅下村、罗村、幸村、外沙村、上栅村等旧村的雨污分流和山水入流整治工程。排洪渠工程包括谭井排渠改建工程和佛迳排洪渠改建工程。谭井排渠改建工程，设计起于西部沿海高速，终至佳能排洪渠，设计长度约1.1km，防洪标准为100年一遇；佛迳排洪渠改建工程，设计起于西部沿海高速，终至中珠排洪渠，设计长度约1.03km，防洪标准为100年一遇。</v>
          </cell>
          <cell r="F20">
            <v>23842.08</v>
          </cell>
          <cell r="G20">
            <v>45352</v>
          </cell>
          <cell r="H20" t="str">
            <v>2024-2025</v>
          </cell>
          <cell r="I20" t="str">
            <v>新建</v>
          </cell>
          <cell r="J20" t="str">
            <v>\</v>
          </cell>
          <cell r="K20">
            <v>5000</v>
          </cell>
          <cell r="L20">
            <v>5000</v>
          </cell>
          <cell r="M20">
            <v>4000</v>
          </cell>
          <cell r="N20">
            <v>4000</v>
          </cell>
          <cell r="O20">
            <v>0</v>
          </cell>
          <cell r="P20">
            <v>1500</v>
          </cell>
          <cell r="Q20">
            <v>2500</v>
          </cell>
          <cell r="R20">
            <v>13</v>
          </cell>
          <cell r="S20" t="str">
            <v>1.高新区水环境综合整治2.0项目是落实珠海市委市政府治污攻坚、防洪排涝思路，保障高新区污水系统完善、防洪排涝能力提升工作按计划逐步完善的重要事项，以加快补齐城镇污水收集和处理设施短板，尽快实现污水系统提质增效，提高区域防洪排涝能力，改善居住环境，提高人民生活质量，增加城市韧性。
2.本项目已申报国债，要求明年6月份前开工。</v>
          </cell>
        </row>
        <row r="21">
          <cell r="B21" t="str">
            <v>珠海市高新区新一代信息技术产业园基础设施配套新建工程（一期）</v>
          </cell>
          <cell r="C21" t="str">
            <v>区住房城乡建设局</v>
          </cell>
          <cell r="D21" t="str">
            <v>高新基建</v>
          </cell>
          <cell r="E21" t="str">
            <v>本工程位于珠海市高新区金鼎片区，包括四条市政道路及配套基础设施：金鼎西路（金环路~横二路）为主干路，红线宽度为34m，双向四车道；金鼎中路（金环路~横二路）为次干路，红线宽度为34m，双向四车道；纵一路（金环路~横二路）为支路，红线宽度为20m，双向四车道；横二路（金鼎西路~上下北村）为支路，红线宽度为20m，双向两车道。以及一个地块的场地平整。建设内容包括：道路工程、给水工程、雨水工程、污水工程、预留沟工程、电缆沟工程、通信管沟工程、燃气工程、桥涵工程、照明工程、景观工程、交通设施、安监设施及场平工程。</v>
          </cell>
          <cell r="F21">
            <v>3485</v>
          </cell>
          <cell r="G21">
            <v>45413</v>
          </cell>
          <cell r="H21" t="str">
            <v>2024-2025</v>
          </cell>
          <cell r="I21" t="str">
            <v>新建</v>
          </cell>
          <cell r="J21" t="str">
            <v>/</v>
          </cell>
          <cell r="K21">
            <v>2000</v>
          </cell>
          <cell r="L21">
            <v>2000</v>
          </cell>
          <cell r="M21">
            <v>1700</v>
          </cell>
          <cell r="N21">
            <v>1700</v>
          </cell>
          <cell r="O21">
            <v>0</v>
          </cell>
          <cell r="P21">
            <v>500</v>
          </cell>
          <cell r="Q21">
            <v>1200</v>
          </cell>
          <cell r="R21">
            <v>14</v>
          </cell>
          <cell r="S21" t="str">
            <v>因北沙三生产业园（一期）正在筹备建设中，周边无配套道路通行，建设生产得不到出行保证。本项目的建设是完善规划路网建设，方便沿线居民、厂区的生产、生活活动，可有效提升区域路网通行能力，优化片区道路交通布局，进一步为地区基础设施建设创造有利条件，对促进片区经济发展具有十分重要的意义。</v>
          </cell>
        </row>
        <row r="22">
          <cell r="B22" t="str">
            <v>珠海高新区仁恒滨海湾配套市政道路新建工程</v>
          </cell>
          <cell r="C22" t="str">
            <v>区住房城乡建设局</v>
          </cell>
          <cell r="D22" t="str">
            <v>区公建中心</v>
          </cell>
          <cell r="E22" t="str">
            <v>本工程位于珠海市唐家湾东岸片区。工程包含包括东岸北路、东岸南路及田馆二路，道路等级均为城市支路，设计总长931.552m，本次实施长度803.183m，其中东岸南路(BK0+000-BK0+180)为现状改造道路，东岸北路、田馆二路、东岸南路（BK0+180-BK0+552.272）为新建道路。</v>
          </cell>
          <cell r="F22">
            <v>3400</v>
          </cell>
          <cell r="G22">
            <v>45323</v>
          </cell>
          <cell r="H22" t="str">
            <v>2023-2024</v>
          </cell>
          <cell r="I22" t="str">
            <v>新建</v>
          </cell>
          <cell r="J22" t="str">
            <v>/</v>
          </cell>
          <cell r="K22">
            <v>1500</v>
          </cell>
          <cell r="L22">
            <v>1500</v>
          </cell>
          <cell r="M22">
            <v>1275</v>
          </cell>
          <cell r="N22">
            <v>1275</v>
          </cell>
          <cell r="O22">
            <v>0</v>
          </cell>
        </row>
        <row r="22">
          <cell r="R22">
            <v>15</v>
          </cell>
          <cell r="S22" t="str">
            <v>本项目为仁恒滨海湾小区配套市政道路，解决小区出行问题。</v>
          </cell>
        </row>
        <row r="23">
          <cell r="B23" t="str">
            <v>向海一路、创意南路( 裕华聚酯段) 和裕华路北段部分建设工程</v>
          </cell>
          <cell r="C23" t="str">
            <v>区住房城乡建设局</v>
          </cell>
          <cell r="D23" t="str">
            <v>珠海华昕开发建设有限公司</v>
          </cell>
          <cell r="E23" t="str">
            <v>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v>
          </cell>
          <cell r="F23">
            <v>18021</v>
          </cell>
          <cell r="G23">
            <v>45352</v>
          </cell>
          <cell r="H23" t="str">
            <v>2024-2025</v>
          </cell>
          <cell r="I23" t="str">
            <v>新建</v>
          </cell>
          <cell r="J23" t="str">
            <v>/</v>
          </cell>
          <cell r="K23">
            <v>3000</v>
          </cell>
          <cell r="L23">
            <v>3000</v>
          </cell>
          <cell r="M23">
            <v>2400</v>
          </cell>
          <cell r="N23">
            <v>2400</v>
          </cell>
          <cell r="O23">
            <v>0</v>
          </cell>
          <cell r="P23">
            <v>1200</v>
          </cell>
          <cell r="Q23">
            <v>1200</v>
          </cell>
          <cell r="R23">
            <v>16</v>
          </cell>
          <cell r="S23" t="str">
            <v>完善华发裕华聚酯旧改房地产项目周边交通路网。
</v>
          </cell>
        </row>
        <row r="24">
          <cell r="B24" t="str">
            <v>珠海高新区金星路及科技一路（东段）管网改造工程</v>
          </cell>
          <cell r="C24" t="str">
            <v>区住房城乡建设局</v>
          </cell>
          <cell r="D24" t="str">
            <v>区公建中心</v>
          </cell>
          <cell r="E24" t="str">
            <v>工程包含金星路及科技一路两条道路，金星路为次干道，长约1555.05米，道路宽36米，科技一路为城市支路长约877.48m，道路宽18米。
工程建设内容包括新建D1400~D1800污水管约1793m、D600~B×H=2.6×1.0m雨水管渠约670m及金星路、科技一路道路升级改造。</v>
          </cell>
          <cell r="F24">
            <v>4300</v>
          </cell>
          <cell r="G24">
            <v>45383</v>
          </cell>
          <cell r="H24" t="str">
            <v>2024-2024</v>
          </cell>
          <cell r="I24" t="str">
            <v>新建</v>
          </cell>
          <cell r="J24" t="str">
            <v>珠高发投〔2023〕47号</v>
          </cell>
          <cell r="K24">
            <v>3100</v>
          </cell>
          <cell r="L24">
            <v>3100</v>
          </cell>
          <cell r="M24">
            <v>2635</v>
          </cell>
          <cell r="N24">
            <v>2635</v>
          </cell>
          <cell r="O24">
            <v>0</v>
          </cell>
        </row>
        <row r="24">
          <cell r="R24">
            <v>17</v>
          </cell>
          <cell r="S24" t="str">
            <v>1.改造提升、完善金星路和科技一路雨、污水管网，市政基础设施。
2.本项目已申报国债，要求明年6月份前开工。</v>
          </cell>
        </row>
        <row r="25">
          <cell r="B25" t="str">
            <v>高新区前环片区3号排涝泵闸新建工程</v>
          </cell>
          <cell r="C25" t="str">
            <v>区住房城乡建设局</v>
          </cell>
          <cell r="D25" t="str">
            <v>区公建中心</v>
          </cell>
          <cell r="E25" t="str">
            <v>主要建设内容包括排水工程、电气工程、水工结构等，具体建设内容及规模如下：
1）设置水闸1座，1孔，单宽8.0m，总净宽8m，闸底板顶高程-0.70m，顶高程5.5m，设计流量36.55m3/s。
2）新建排涝泵站1座，设计流量25m3/s。
3）泵闸上游排洪渠衔接段、下游箱涵衔接段及泵站厂区道路、绿化景观工程、管线迁改工程等。</v>
          </cell>
          <cell r="F25">
            <v>7320</v>
          </cell>
          <cell r="G25">
            <v>45444</v>
          </cell>
          <cell r="H25" t="str">
            <v>2024-2025</v>
          </cell>
          <cell r="I25" t="str">
            <v>新建</v>
          </cell>
          <cell r="J25" t="str">
            <v>珠高发投〔2023〕50号</v>
          </cell>
          <cell r="K25">
            <v>3900</v>
          </cell>
          <cell r="L25">
            <v>3900</v>
          </cell>
          <cell r="M25">
            <v>3315</v>
          </cell>
          <cell r="N25">
            <v>3315</v>
          </cell>
          <cell r="O25">
            <v>0</v>
          </cell>
        </row>
        <row r="25">
          <cell r="R25">
            <v>18</v>
          </cell>
          <cell r="S25" t="str">
            <v>1.本项目解决前环片区内涝问题。
2.本项目已申报国债，要求明年6月份前开工。</v>
          </cell>
        </row>
        <row r="26">
          <cell r="B26" t="str">
            <v>珠海高新区情侣北路东段新建雨水渠及病害修复工程</v>
          </cell>
          <cell r="C26" t="str">
            <v>区住房城乡建设局</v>
          </cell>
          <cell r="D26" t="str">
            <v>高华城资</v>
          </cell>
          <cell r="E26" t="str">
            <v>情侣北路东段新建雨水渠、管道病害修复，完善雨水收集设施及闸门等配套设施。</v>
          </cell>
          <cell r="F26">
            <v>11304</v>
          </cell>
          <cell r="G26">
            <v>45444</v>
          </cell>
          <cell r="H26" t="str">
            <v>2023-2025</v>
          </cell>
          <cell r="I26" t="str">
            <v>新建</v>
          </cell>
          <cell r="J26" t="str">
            <v>珠高发投〔2023〕49号</v>
          </cell>
          <cell r="K26">
            <v>5000</v>
          </cell>
          <cell r="L26">
            <v>5000</v>
          </cell>
          <cell r="M26">
            <v>4000</v>
          </cell>
          <cell r="N26">
            <v>4000</v>
          </cell>
          <cell r="O26">
            <v>0</v>
          </cell>
        </row>
        <row r="26">
          <cell r="R26">
            <v>19</v>
          </cell>
          <cell r="S26" t="str">
            <v>1.本工程是收集和输送片区雨水至3号泵闸，强排雨水入海，提升片区排涝能力的关键。
2.本工程对病害管网进行开挖修复，是解决前环片区雨水系统的瓶颈、提升片区管网排水能力的关键。
3.本项目已申报国债，要求明年6月份前开工。</v>
          </cell>
        </row>
        <row r="27">
          <cell r="B27" t="str">
            <v>珠海高新区东岸片区小学新建工程</v>
          </cell>
          <cell r="C27" t="str">
            <v>区社会事业局</v>
          </cell>
          <cell r="D27" t="str">
            <v>区公建中心</v>
          </cell>
          <cell r="E27" t="str">
            <v>用地面积1.54万平方米，规划总建面2.75万平方米，其中地上建面2.35万平方米，地下建面0.4万平方米，拟建1所规模为36个教学班的标准化小学，提供学位1620个，建设内容主要包括教学楼、行政办公楼、报告厅、食堂、体育馆、运动场、人防地下室车库等。</v>
          </cell>
          <cell r="F27">
            <v>16000</v>
          </cell>
          <cell r="G27">
            <v>45444</v>
          </cell>
          <cell r="H27" t="str">
            <v>2024-2026</v>
          </cell>
          <cell r="I27" t="str">
            <v>新建</v>
          </cell>
          <cell r="J27" t="str">
            <v>/</v>
          </cell>
          <cell r="K27">
            <v>10000</v>
          </cell>
          <cell r="L27">
            <v>10000</v>
          </cell>
          <cell r="M27">
            <v>8000</v>
          </cell>
          <cell r="N27">
            <v>8000</v>
          </cell>
          <cell r="O27">
            <v>0</v>
          </cell>
          <cell r="P27">
            <v>3000</v>
          </cell>
          <cell r="Q27">
            <v>5000</v>
          </cell>
          <cell r="R27">
            <v>20</v>
          </cell>
          <cell r="S27" t="str">
            <v>缓解东岸、下村片区生源紧张问题。</v>
          </cell>
          <cell r="T27">
            <v>1500</v>
          </cell>
        </row>
        <row r="28">
          <cell r="B28" t="str">
            <v>高新区智慧环保工程</v>
          </cell>
          <cell r="C28" t="str">
            <v>区住房城乡建设局</v>
          </cell>
          <cell r="D28" t="str">
            <v>高华城资</v>
          </cell>
          <cell r="E28" t="str">
            <v>1.大气环境智慧在线监测：VOCs在线监测设备99套，恶臭异味在线监测设备12套，气象仪3台，走航监测车1辆等；
2.重点监控企业废水在线监测：集成式水质在线监测站7套；
3.AI视频项目:在辖区域内黑烟、扬尘、河涌及排放口等污染防控点位布置AI识别摄像头；
4.无人机配套采购服务；
5.一套智慧环保平台。</v>
          </cell>
          <cell r="F28">
            <v>4627.57</v>
          </cell>
          <cell r="G28">
            <v>45383</v>
          </cell>
          <cell r="H28" t="str">
            <v>2023-2025</v>
          </cell>
          <cell r="I28" t="str">
            <v>新建</v>
          </cell>
          <cell r="J28" t="str">
            <v>/</v>
          </cell>
          <cell r="K28">
            <v>4627.57</v>
          </cell>
          <cell r="L28">
            <v>4450</v>
          </cell>
          <cell r="M28">
            <v>3600</v>
          </cell>
          <cell r="N28">
            <v>3600</v>
          </cell>
          <cell r="O28">
            <v>0</v>
          </cell>
          <cell r="P28">
            <v>2000</v>
          </cell>
          <cell r="Q28">
            <v>1600</v>
          </cell>
          <cell r="R28">
            <v>21</v>
          </cell>
          <cell r="S28" t="str">
            <v>本项目符合珠海智慧高新建设规划及“一网统管”建设要求，是落实国家、省、市生态文明建设和生态环境监测专项规划的需要，项目有助于提升涉VOCs重点监管企业及敏感点管理能力，实现涉水排放企业在线监测全覆盖，提升生态环境感知能力助力精准高效执法，推动生态环境治理数字化转型，实现和省、市生态环境数据的对接，形成区级生态环境领域“一网统管”管理能力。根据《珠海高新区数字政府改革建设2023年工作要点暨落实“实体经济为本，制造业当家”工作方案》（珠高数改领〔2023〕3号）工作部署，应加快推进高新区智慧环保工程。</v>
          </cell>
        </row>
        <row r="29">
          <cell r="B29" t="str">
            <v>珠海市高新区防灾减灾指挥通信和应急处置能力提升项目</v>
          </cell>
          <cell r="C29" t="str">
            <v>区应急管理局</v>
          </cell>
          <cell r="D29" t="str">
            <v>/</v>
          </cell>
          <cell r="E29" t="str">
            <v>该项目符合《广东省应急管理“十四五”规划》，项目主要提升区域应急救援能力，建设内容包括储备应急物资约2万件，采购2辆应急通讯指挥车、2台无人机、5辆特种专业技术用车、1套高扬程便携式潜水泵、1台排涝机器人，建设室内外两用天通卫星应急通信系统各1套、空地一体应急指挥调度系统3套等。</v>
          </cell>
          <cell r="F29">
            <v>7413</v>
          </cell>
          <cell r="G29">
            <v>45383</v>
          </cell>
          <cell r="H29" t="str">
            <v>2024-2025</v>
          </cell>
          <cell r="I29" t="str">
            <v>新建</v>
          </cell>
          <cell r="J29" t="str">
            <v>珠高发投〔2023〕51号</v>
          </cell>
          <cell r="K29">
            <v>4352.94117647059</v>
          </cell>
          <cell r="L29">
            <v>4352.94117647059</v>
          </cell>
          <cell r="M29">
            <v>3700</v>
          </cell>
          <cell r="N29">
            <v>3700</v>
          </cell>
          <cell r="O29">
            <v>0</v>
          </cell>
        </row>
        <row r="29">
          <cell r="R29">
            <v>22</v>
          </cell>
          <cell r="S29" t="str">
            <v>1.项目实施后可应对复杂环境突发事件的应急救援抢险通信保障能力，使各级领导能快速获取信息，快速反应做出正确、快速的决策，进行统一指挥调度。现场和指挥中心得以相互协调、配合，使统一指挥、协调作战成为可能，真正实现应急联动，从而大大提高对突发事件的快速反应能力，缩短处置的反应时间，能最大限度降低了灾害所造成的损失，对保护我区群众生命财产安全起到保障作用。
2.本项目已申报国债，要求明年6月份前开工。</v>
          </cell>
        </row>
      </sheetData>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view="pageBreakPreview" zoomScale="85" zoomScaleNormal="100" workbookViewId="0">
      <selection activeCell="G10" sqref="G10"/>
    </sheetView>
  </sheetViews>
  <sheetFormatPr defaultColWidth="8.88888888888889" defaultRowHeight="14.4"/>
  <cols>
    <col min="1" max="1" width="7.0462962962963" style="231" customWidth="1"/>
    <col min="2" max="2" width="18.037037037037" style="231" customWidth="1"/>
    <col min="3" max="3" width="8.62037037037037" style="231" customWidth="1"/>
    <col min="4" max="4" width="18.037037037037" style="231" customWidth="1"/>
    <col min="5" max="5" width="15.4166666666667" style="231" customWidth="1"/>
    <col min="6" max="6" width="16.0740740740741" style="231" customWidth="1"/>
    <col min="7" max="8" width="15.287037037037" style="231" customWidth="1"/>
    <col min="9" max="9" width="13.8518518518519" style="231" customWidth="1"/>
    <col min="10" max="10" width="15.1574074074074" style="231" customWidth="1"/>
    <col min="11" max="11" width="13.8518518518519" style="338" customWidth="1"/>
    <col min="12" max="12" width="15.5462962962963" style="231" customWidth="1"/>
    <col min="13" max="13" width="12.9351851851852" style="231" customWidth="1"/>
    <col min="14" max="14" width="8.75" style="231" customWidth="1"/>
    <col min="15" max="16" width="11.2222222222222" style="231" hidden="1" customWidth="1"/>
    <col min="17" max="17" width="17.5555555555556" style="338" hidden="1" customWidth="1"/>
    <col min="18" max="18" width="13.1111111111111" style="337" hidden="1" customWidth="1"/>
    <col min="19" max="19" width="16.4444444444444" style="337" hidden="1" customWidth="1"/>
    <col min="20" max="20" width="12.8888888888889" style="337" hidden="1" customWidth="1"/>
    <col min="21" max="16384" width="8.88888888888889" style="231"/>
  </cols>
  <sheetData>
    <row r="1" ht="28" customHeight="1" spans="1:2">
      <c r="A1" s="38" t="s">
        <v>0</v>
      </c>
      <c r="B1" s="38"/>
    </row>
    <row r="2" ht="35" customHeight="1" spans="1:16">
      <c r="A2" s="340" t="s">
        <v>1</v>
      </c>
      <c r="B2" s="340"/>
      <c r="C2" s="340"/>
      <c r="D2" s="340"/>
      <c r="E2" s="341"/>
      <c r="F2" s="341"/>
      <c r="G2" s="342"/>
      <c r="H2" s="342"/>
      <c r="I2" s="342"/>
      <c r="J2" s="342"/>
      <c r="K2" s="371"/>
      <c r="L2" s="340"/>
      <c r="M2" s="340"/>
      <c r="N2" s="340"/>
      <c r="O2" s="340"/>
      <c r="P2" s="340"/>
    </row>
    <row r="3" ht="23" customHeight="1" spans="6:16">
      <c r="F3" s="364"/>
      <c r="G3" s="343" t="s">
        <v>2</v>
      </c>
      <c r="H3" s="343"/>
      <c r="I3" s="343"/>
      <c r="J3" s="343"/>
      <c r="K3" s="372"/>
      <c r="L3" s="343"/>
      <c r="M3" s="343"/>
      <c r="N3" s="343"/>
      <c r="O3" s="373"/>
      <c r="P3" s="373"/>
    </row>
    <row r="4" ht="23" customHeight="1" spans="1:17">
      <c r="A4" s="365" t="s">
        <v>3</v>
      </c>
      <c r="B4" s="365" t="s">
        <v>4</v>
      </c>
      <c r="C4" s="365" t="s">
        <v>5</v>
      </c>
      <c r="D4" s="365" t="s">
        <v>6</v>
      </c>
      <c r="E4" s="365" t="s">
        <v>7</v>
      </c>
      <c r="F4" s="366" t="s">
        <v>8</v>
      </c>
      <c r="G4" s="367"/>
      <c r="H4" s="367"/>
      <c r="I4" s="367"/>
      <c r="J4" s="374" t="s">
        <v>9</v>
      </c>
      <c r="K4" s="375"/>
      <c r="L4" s="375"/>
      <c r="M4" s="376"/>
      <c r="N4" s="344" t="s">
        <v>10</v>
      </c>
      <c r="O4" s="377"/>
      <c r="P4" s="377"/>
      <c r="Q4" s="381" t="s">
        <v>11</v>
      </c>
    </row>
    <row r="5" ht="31" customHeight="1" spans="1:17">
      <c r="A5" s="368"/>
      <c r="B5" s="368"/>
      <c r="C5" s="368"/>
      <c r="D5" s="368"/>
      <c r="E5" s="368"/>
      <c r="F5" s="48" t="s">
        <v>12</v>
      </c>
      <c r="G5" s="48" t="s">
        <v>13</v>
      </c>
      <c r="H5" s="48" t="s">
        <v>14</v>
      </c>
      <c r="I5" s="48" t="s">
        <v>15</v>
      </c>
      <c r="J5" s="48" t="s">
        <v>12</v>
      </c>
      <c r="K5" s="48" t="s">
        <v>13</v>
      </c>
      <c r="L5" s="48" t="s">
        <v>14</v>
      </c>
      <c r="M5" s="48" t="s">
        <v>15</v>
      </c>
      <c r="N5" s="344"/>
      <c r="O5" s="377"/>
      <c r="P5" s="377"/>
      <c r="Q5" s="381"/>
    </row>
    <row r="6" ht="53" customHeight="1" spans="1:19">
      <c r="A6" s="345">
        <v>1</v>
      </c>
      <c r="B6" s="347" t="s">
        <v>16</v>
      </c>
      <c r="C6" s="345">
        <f>COUNTA(竣工项目!B8:B270)</f>
        <v>263</v>
      </c>
      <c r="D6" s="349">
        <f>竣工项目!F7</f>
        <v>869280.488714</v>
      </c>
      <c r="E6" s="349">
        <v>0</v>
      </c>
      <c r="F6" s="349">
        <f t="shared" ref="F6:F11" si="0">G6+H6+I6</f>
        <v>114383.083332</v>
      </c>
      <c r="G6" s="349">
        <v>73575.352832</v>
      </c>
      <c r="H6" s="349">
        <v>40807.7305</v>
      </c>
      <c r="I6" s="349">
        <v>0</v>
      </c>
      <c r="J6" s="349">
        <f t="shared" ref="J6:J11" si="1">K6+L6+M6</f>
        <v>64822.089781</v>
      </c>
      <c r="K6" s="349">
        <v>34848.15</v>
      </c>
      <c r="L6" s="349">
        <v>29973.939781</v>
      </c>
      <c r="M6" s="349">
        <v>0</v>
      </c>
      <c r="N6" s="360"/>
      <c r="O6" s="378"/>
      <c r="P6" s="379">
        <f t="shared" ref="P6:P10" si="2">(G6+H6)/($G$11+$H$11)</f>
        <v>0.285980251612017</v>
      </c>
      <c r="Q6" s="362"/>
      <c r="S6" s="382">
        <v>40607</v>
      </c>
    </row>
    <row r="7" ht="53" customHeight="1" spans="1:19">
      <c r="A7" s="345">
        <v>2</v>
      </c>
      <c r="B7" s="347" t="s">
        <v>17</v>
      </c>
      <c r="C7" s="345">
        <f>COUNTA(续建项目!B8:B43)</f>
        <v>36</v>
      </c>
      <c r="D7" s="349">
        <f>续建项目!F7</f>
        <v>933865.98</v>
      </c>
      <c r="E7" s="349">
        <f>续建项目!K7</f>
        <v>205241.842470588</v>
      </c>
      <c r="F7" s="349">
        <f t="shared" si="0"/>
        <v>201383.565425</v>
      </c>
      <c r="G7" s="349">
        <v>10535</v>
      </c>
      <c r="H7" s="349">
        <v>190848.565425</v>
      </c>
      <c r="I7" s="349">
        <v>0</v>
      </c>
      <c r="J7" s="349">
        <f t="shared" si="1"/>
        <v>195728.26</v>
      </c>
      <c r="K7" s="349">
        <f>续建项目!R7</f>
        <v>11837</v>
      </c>
      <c r="L7" s="349">
        <v>183891.26</v>
      </c>
      <c r="M7" s="349">
        <v>0</v>
      </c>
      <c r="N7" s="360"/>
      <c r="O7" s="379">
        <f t="shared" ref="O7:O10" si="3">E7/$E$11</f>
        <v>0.673260055502351</v>
      </c>
      <c r="P7" s="379">
        <f t="shared" si="2"/>
        <v>0.503498603404535</v>
      </c>
      <c r="Q7" s="382">
        <v>196139.742470588</v>
      </c>
      <c r="R7" s="383">
        <f t="shared" ref="R7:R11" si="4">Q7/E7</f>
        <v>0.955651830589542</v>
      </c>
      <c r="S7" s="382">
        <v>189198</v>
      </c>
    </row>
    <row r="8" ht="53" customHeight="1" spans="1:19">
      <c r="A8" s="345">
        <v>3</v>
      </c>
      <c r="B8" s="347" t="s">
        <v>18</v>
      </c>
      <c r="C8" s="345">
        <f>COUNTA(新建项目!B8:B25)</f>
        <v>18</v>
      </c>
      <c r="D8" s="349">
        <f>新建项目!F7</f>
        <v>161259.86</v>
      </c>
      <c r="E8" s="349">
        <f>新建项目!L7</f>
        <v>98105.9511764706</v>
      </c>
      <c r="F8" s="349">
        <f t="shared" si="0"/>
        <v>82321.82</v>
      </c>
      <c r="G8" s="349">
        <v>23130</v>
      </c>
      <c r="H8" s="349">
        <f>59191.82-I8</f>
        <v>55191.82</v>
      </c>
      <c r="I8" s="349">
        <v>4000</v>
      </c>
      <c r="J8" s="349">
        <f t="shared" si="1"/>
        <v>41005.51</v>
      </c>
      <c r="K8" s="349">
        <f>新建项目!T7</f>
        <v>12700</v>
      </c>
      <c r="L8" s="349">
        <v>24305.51</v>
      </c>
      <c r="M8" s="349">
        <v>4000</v>
      </c>
      <c r="N8" s="360"/>
      <c r="O8" s="379">
        <f t="shared" si="3"/>
        <v>0.321819456203951</v>
      </c>
      <c r="P8" s="379">
        <f t="shared" si="2"/>
        <v>0.195819986118916</v>
      </c>
      <c r="Q8" s="382">
        <v>87657</v>
      </c>
      <c r="R8" s="383">
        <f t="shared" si="4"/>
        <v>0.893493197393548</v>
      </c>
      <c r="S8" s="382">
        <v>76636</v>
      </c>
    </row>
    <row r="9" ht="53" customHeight="1" spans="1:19">
      <c r="A9" s="345">
        <v>4</v>
      </c>
      <c r="B9" s="347" t="s">
        <v>19</v>
      </c>
      <c r="C9" s="345">
        <v>78</v>
      </c>
      <c r="D9" s="349">
        <f>储备库项目!F7</f>
        <v>1052382.7288</v>
      </c>
      <c r="E9" s="349">
        <v>0</v>
      </c>
      <c r="F9" s="349">
        <f t="shared" si="0"/>
        <v>5000</v>
      </c>
      <c r="G9" s="349">
        <v>5000</v>
      </c>
      <c r="H9" s="349">
        <v>0</v>
      </c>
      <c r="I9" s="349">
        <v>0</v>
      </c>
      <c r="J9" s="349">
        <f t="shared" si="1"/>
        <v>37129.290219</v>
      </c>
      <c r="K9" s="349">
        <v>15300</v>
      </c>
      <c r="L9" s="349">
        <v>21829.290219</v>
      </c>
      <c r="M9" s="349">
        <v>0</v>
      </c>
      <c r="N9" s="360"/>
      <c r="O9" s="378"/>
      <c r="P9" s="379">
        <f t="shared" si="2"/>
        <v>0.0125009854290233</v>
      </c>
      <c r="Q9" s="382"/>
      <c r="S9" s="382">
        <f>SUM(S6:S8)</f>
        <v>306441</v>
      </c>
    </row>
    <row r="10" ht="53" customHeight="1" spans="1:16">
      <c r="A10" s="345">
        <v>5</v>
      </c>
      <c r="B10" s="347" t="s">
        <v>20</v>
      </c>
      <c r="C10" s="345">
        <f>按牵头责任部门汇总!D9+按牵头责任部门汇总!D21</f>
        <v>125</v>
      </c>
      <c r="D10" s="349">
        <f>按牵头责任部门汇总!E9+按牵头责任部门汇总!E21</f>
        <v>17710</v>
      </c>
      <c r="E10" s="349">
        <v>1500</v>
      </c>
      <c r="F10" s="349">
        <f t="shared" si="0"/>
        <v>880</v>
      </c>
      <c r="G10" s="349">
        <f>按牵头责任部门汇总!G9+按牵头责任部门汇总!G21</f>
        <v>880</v>
      </c>
      <c r="H10" s="349">
        <v>0</v>
      </c>
      <c r="I10" s="349">
        <v>0</v>
      </c>
      <c r="J10" s="349">
        <f t="shared" si="1"/>
        <v>880</v>
      </c>
      <c r="K10" s="349">
        <v>880</v>
      </c>
      <c r="L10" s="349">
        <v>0</v>
      </c>
      <c r="M10" s="349">
        <v>0</v>
      </c>
      <c r="N10" s="360"/>
      <c r="O10" s="379">
        <f t="shared" si="3"/>
        <v>0.00492048829369795</v>
      </c>
      <c r="P10" s="379">
        <f t="shared" si="2"/>
        <v>0.00220017343550809</v>
      </c>
    </row>
    <row r="11" ht="53" customHeight="1" spans="1:20">
      <c r="A11" s="345" t="s">
        <v>12</v>
      </c>
      <c r="B11" s="345"/>
      <c r="C11" s="345">
        <f>SUM(C6:C10)</f>
        <v>520</v>
      </c>
      <c r="D11" s="349">
        <f t="shared" ref="D11:I11" si="5">SUM(D6:D10)</f>
        <v>3034499.057514</v>
      </c>
      <c r="E11" s="349">
        <f t="shared" si="5"/>
        <v>304847.793647059</v>
      </c>
      <c r="F11" s="349">
        <f t="shared" si="0"/>
        <v>403968.468757</v>
      </c>
      <c r="G11" s="349">
        <f t="shared" si="5"/>
        <v>113120.352832</v>
      </c>
      <c r="H11" s="349">
        <f t="shared" si="5"/>
        <v>286848.115925</v>
      </c>
      <c r="I11" s="349">
        <f t="shared" si="5"/>
        <v>4000</v>
      </c>
      <c r="J11" s="349">
        <f t="shared" si="1"/>
        <v>339565.15</v>
      </c>
      <c r="K11" s="349">
        <f>SUM(K6:K10)</f>
        <v>75565.15</v>
      </c>
      <c r="L11" s="349">
        <f>SUM(L6:L10)</f>
        <v>260000</v>
      </c>
      <c r="M11" s="349">
        <f>SUM(M6:M10)</f>
        <v>4000</v>
      </c>
      <c r="N11" s="380"/>
      <c r="Q11" s="382">
        <v>283796.742470588</v>
      </c>
      <c r="R11" s="383">
        <f t="shared" si="4"/>
        <v>0.930945699410759</v>
      </c>
      <c r="S11" s="382">
        <v>306441</v>
      </c>
      <c r="T11" s="383">
        <f>S11/G11</f>
        <v>2.7089820030451</v>
      </c>
    </row>
    <row r="12" hidden="1" spans="1:16">
      <c r="A12" s="369"/>
      <c r="B12" s="369"/>
      <c r="C12" s="369"/>
      <c r="D12" s="369"/>
      <c r="E12" s="369"/>
      <c r="F12" s="369"/>
      <c r="G12" s="369"/>
      <c r="H12" s="369"/>
      <c r="I12" s="369"/>
      <c r="J12" s="369"/>
      <c r="K12" s="369"/>
      <c r="L12" s="369"/>
      <c r="M12" s="369"/>
      <c r="N12" s="369"/>
      <c r="O12" s="369"/>
      <c r="P12" s="369"/>
    </row>
    <row r="13" hidden="1" spans="1:16">
      <c r="A13" s="369"/>
      <c r="B13" s="369"/>
      <c r="C13" s="369"/>
      <c r="D13" s="369"/>
      <c r="E13" s="369"/>
      <c r="F13" s="369"/>
      <c r="G13" s="369"/>
      <c r="H13" s="369"/>
      <c r="I13" s="369"/>
      <c r="J13" s="369"/>
      <c r="K13" s="369"/>
      <c r="L13" s="369"/>
      <c r="M13" s="369"/>
      <c r="N13" s="369"/>
      <c r="O13" s="369"/>
      <c r="P13" s="369"/>
    </row>
    <row r="14" ht="26" hidden="1" customHeight="1" spans="5:7">
      <c r="E14" s="231">
        <v>495629.255551</v>
      </c>
      <c r="G14" s="231">
        <v>554225.82161335</v>
      </c>
    </row>
    <row r="15" ht="26" hidden="1" customHeight="1" spans="5:10">
      <c r="E15" s="370">
        <f>(E14-E11)/E14</f>
        <v>0.384927765597384</v>
      </c>
      <c r="F15" s="370"/>
      <c r="G15" s="370">
        <f>(G14-G11-H11)/G14</f>
        <v>0.278329422485779</v>
      </c>
      <c r="H15" s="370"/>
      <c r="I15" s="370"/>
      <c r="J15" s="370"/>
    </row>
    <row r="16" hidden="1" spans="5:7">
      <c r="E16" s="231">
        <v>469170.529423529</v>
      </c>
      <c r="G16" s="231">
        <v>456669.20932604</v>
      </c>
    </row>
    <row r="17" hidden="1" spans="5:10">
      <c r="E17" s="370">
        <f>(E16-E11)/E16</f>
        <v>0.350240958182889</v>
      </c>
      <c r="F17" s="370"/>
      <c r="G17" s="370">
        <f>(G16-G11-H11)/G16</f>
        <v>0.124161514310807</v>
      </c>
      <c r="H17" s="370"/>
      <c r="I17" s="370"/>
      <c r="J17" s="370"/>
    </row>
    <row r="18" hidden="1"/>
    <row r="19" hidden="1"/>
    <row r="34" spans="7:10">
      <c r="G34" s="337"/>
      <c r="H34" s="337"/>
      <c r="I34" s="337"/>
      <c r="J34" s="337"/>
    </row>
  </sheetData>
  <mergeCells count="12">
    <mergeCell ref="A1:B1"/>
    <mergeCell ref="A2:N2"/>
    <mergeCell ref="G3:N3"/>
    <mergeCell ref="F4:I4"/>
    <mergeCell ref="J4:M4"/>
    <mergeCell ref="A11:B11"/>
    <mergeCell ref="A4:A5"/>
    <mergeCell ref="B4:B5"/>
    <mergeCell ref="C4:C5"/>
    <mergeCell ref="D4:D5"/>
    <mergeCell ref="E4:E5"/>
    <mergeCell ref="A12:N13"/>
  </mergeCells>
  <printOptions horizontalCentered="1" verticalCentered="1"/>
  <pageMargins left="0.354166666666667" right="0.354166666666667" top="0.550694444444444" bottom="0.472222222222222" header="0.5" footer="0.5"/>
  <pageSetup paperSize="8" scale="106"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view="pageBreakPreview" zoomScale="70" zoomScaleNormal="100" workbookViewId="0">
      <pane ySplit="4" topLeftCell="A23" activePane="bottomLeft" state="frozen"/>
      <selection/>
      <selection pane="bottomLeft" activeCell="G53" sqref="G53"/>
    </sheetView>
  </sheetViews>
  <sheetFormatPr defaultColWidth="8.88888888888889" defaultRowHeight="14.4"/>
  <cols>
    <col min="1" max="1" width="7.22222222222222" style="231" customWidth="1"/>
    <col min="2" max="2" width="23.5555555555556" style="231" customWidth="1"/>
    <col min="3" max="4" width="21.3333333333333" style="231" customWidth="1"/>
    <col min="5" max="5" width="23.4444444444444" style="231" customWidth="1"/>
    <col min="6" max="7" width="21.3333333333333" style="231" customWidth="1"/>
    <col min="8" max="8" width="20" style="231" customWidth="1"/>
    <col min="9" max="9" width="13.1944444444444" style="231" customWidth="1"/>
    <col min="10" max="10" width="16.5648148148148" style="338" hidden="1" customWidth="1"/>
    <col min="11" max="11" width="15.0277777777778" style="337" hidden="1" customWidth="1"/>
    <col min="12" max="12" width="15.0277777777778" style="339" customWidth="1"/>
    <col min="13" max="13" width="16.6666666666667" style="337" customWidth="1"/>
    <col min="14" max="14" width="15.2222222222222" style="231"/>
    <col min="15" max="16384" width="8.88888888888889" style="231"/>
  </cols>
  <sheetData>
    <row r="1" ht="23" customHeight="1" spans="1:2">
      <c r="A1" s="38" t="s">
        <v>21</v>
      </c>
      <c r="B1" s="38"/>
    </row>
    <row r="2" ht="31" customHeight="1" spans="1:9">
      <c r="A2" s="340" t="s">
        <v>22</v>
      </c>
      <c r="B2" s="340"/>
      <c r="C2" s="340"/>
      <c r="D2" s="340"/>
      <c r="E2" s="340"/>
      <c r="F2" s="341"/>
      <c r="G2" s="342"/>
      <c r="H2" s="340"/>
      <c r="I2" s="340"/>
    </row>
    <row r="3" ht="23" customHeight="1" spans="7:9">
      <c r="G3" s="343" t="s">
        <v>2</v>
      </c>
      <c r="H3" s="343"/>
      <c r="I3" s="343"/>
    </row>
    <row r="4" ht="37" customHeight="1" spans="1:9">
      <c r="A4" s="344" t="s">
        <v>3</v>
      </c>
      <c r="B4" s="344" t="s">
        <v>23</v>
      </c>
      <c r="C4" s="344" t="s">
        <v>4</v>
      </c>
      <c r="D4" s="344" t="s">
        <v>5</v>
      </c>
      <c r="E4" s="344" t="s">
        <v>6</v>
      </c>
      <c r="F4" s="344" t="s">
        <v>7</v>
      </c>
      <c r="G4" s="344" t="s">
        <v>8</v>
      </c>
      <c r="H4" s="344" t="s">
        <v>9</v>
      </c>
      <c r="I4" s="344" t="s">
        <v>10</v>
      </c>
    </row>
    <row r="5" ht="21" customHeight="1" spans="1:12">
      <c r="A5" s="345">
        <v>1</v>
      </c>
      <c r="B5" s="346" t="s">
        <v>24</v>
      </c>
      <c r="C5" s="347" t="s">
        <v>16</v>
      </c>
      <c r="D5" s="348">
        <f>COUNTIF(竣工项目!C8:C270,B5)</f>
        <v>206</v>
      </c>
      <c r="E5" s="349">
        <f>SUMIF(竣工项目!C:C,B5,竣工项目!F:F)</f>
        <v>628678.908514</v>
      </c>
      <c r="F5" s="349">
        <f>SUMIF(竣工项目!C:C,B5,竣工项目!K:K)</f>
        <v>0</v>
      </c>
      <c r="G5" s="349">
        <f>SUMIF(竣工项目!C:C,B5,竣工项目!L:L)</f>
        <v>78723.48</v>
      </c>
      <c r="H5" s="349">
        <f>24895.9146+25310.899781</f>
        <v>50206.814381</v>
      </c>
      <c r="I5" s="360"/>
      <c r="K5" s="338"/>
      <c r="L5" s="338"/>
    </row>
    <row r="6" ht="21" customHeight="1" spans="1:12">
      <c r="A6" s="345">
        <v>2</v>
      </c>
      <c r="B6" s="350"/>
      <c r="C6" s="347" t="s">
        <v>17</v>
      </c>
      <c r="D6" s="348">
        <f>COUNTIF(续建项目!C:C,B5)</f>
        <v>24</v>
      </c>
      <c r="E6" s="349">
        <f>SUMIF(续建项目!C:C,B5,续建项目!F:F)</f>
        <v>483005.64</v>
      </c>
      <c r="F6" s="349">
        <f>SUMIF(续建项目!C:C,B5,续建项目!K:K)</f>
        <v>86915</v>
      </c>
      <c r="G6" s="349">
        <f>SUMIF(续建项目!C:C,B5,续建项目!L:L)</f>
        <v>84824.5</v>
      </c>
      <c r="H6" s="349">
        <f>2700+99423.35</f>
        <v>102123.35</v>
      </c>
      <c r="I6" s="360"/>
      <c r="K6" s="338"/>
      <c r="L6" s="338"/>
    </row>
    <row r="7" ht="21" customHeight="1" spans="1:12">
      <c r="A7" s="345">
        <v>3</v>
      </c>
      <c r="B7" s="350"/>
      <c r="C7" s="347" t="s">
        <v>18</v>
      </c>
      <c r="D7" s="348">
        <f>COUNTIF(新建项目!C:C,B5)</f>
        <v>12</v>
      </c>
      <c r="E7" s="349">
        <f>SUMIF(新建项目!C:C,B5,新建项目!F:F)</f>
        <v>86662.72</v>
      </c>
      <c r="F7" s="349">
        <f>SUMIF(新建项目!C:C,B5,新建项目!L:L)</f>
        <v>49500.97</v>
      </c>
      <c r="G7" s="349">
        <f>SUMIF(新建项目!C:C,B5,新建项目!M:M)</f>
        <v>41191.82</v>
      </c>
      <c r="H7" s="349">
        <f>24305.51+4000</f>
        <v>28305.51</v>
      </c>
      <c r="I7" s="360"/>
      <c r="K7" s="338"/>
      <c r="L7" s="338"/>
    </row>
    <row r="8" ht="21" customHeight="1" spans="1:9">
      <c r="A8" s="345">
        <v>4</v>
      </c>
      <c r="B8" s="350"/>
      <c r="C8" s="347" t="s">
        <v>19</v>
      </c>
      <c r="D8" s="348">
        <f>46+7</f>
        <v>53</v>
      </c>
      <c r="E8" s="349">
        <f>SUMIF(储备库项目!C8:C63,B5,储备库项目!F8:F63)</f>
        <v>649896.4</v>
      </c>
      <c r="F8" s="349">
        <v>0</v>
      </c>
      <c r="G8" s="349">
        <v>5000</v>
      </c>
      <c r="H8" s="349">
        <f>11000+21829.290219</f>
        <v>32829.290219</v>
      </c>
      <c r="I8" s="360"/>
    </row>
    <row r="9" ht="21" customHeight="1" spans="1:9">
      <c r="A9" s="345">
        <v>5</v>
      </c>
      <c r="B9" s="351"/>
      <c r="C9" s="347" t="s">
        <v>20</v>
      </c>
      <c r="D9" s="348">
        <v>123</v>
      </c>
      <c r="E9" s="349">
        <v>17630</v>
      </c>
      <c r="F9" s="349">
        <v>1420</v>
      </c>
      <c r="G9" s="349">
        <v>800</v>
      </c>
      <c r="H9" s="349">
        <v>800</v>
      </c>
      <c r="I9" s="360"/>
    </row>
    <row r="10" ht="21" customHeight="1" spans="1:11">
      <c r="A10" s="352" t="s">
        <v>25</v>
      </c>
      <c r="B10" s="352"/>
      <c r="C10" s="352"/>
      <c r="D10" s="353">
        <f t="shared" ref="D10:H10" si="0">SUM(D5:D9)</f>
        <v>418</v>
      </c>
      <c r="E10" s="354">
        <f t="shared" si="0"/>
        <v>1865873.668514</v>
      </c>
      <c r="F10" s="354">
        <f t="shared" si="0"/>
        <v>137835.97</v>
      </c>
      <c r="G10" s="354">
        <f t="shared" si="0"/>
        <v>210539.8</v>
      </c>
      <c r="H10" s="354">
        <f t="shared" si="0"/>
        <v>214264.9646</v>
      </c>
      <c r="I10" s="361"/>
      <c r="J10" s="362">
        <f>F10/$F$53</f>
        <v>0.452146851223667</v>
      </c>
      <c r="K10" s="362">
        <f>G10/$G$53</f>
        <v>0.521178795582302</v>
      </c>
    </row>
    <row r="11" ht="21" customHeight="1" spans="1:9">
      <c r="A11" s="345">
        <v>1</v>
      </c>
      <c r="B11" s="346" t="s">
        <v>26</v>
      </c>
      <c r="C11" s="347" t="s">
        <v>16</v>
      </c>
      <c r="D11" s="348">
        <f>COUNTIF(竣工项目!C:C,B11)</f>
        <v>25</v>
      </c>
      <c r="E11" s="349">
        <f>SUMIF(竣工项目!C:C,B11,竣工项目!F:F)</f>
        <v>105686.9</v>
      </c>
      <c r="F11" s="349">
        <f>SUMIF(竣工项目!C:C,B11,竣工项目!K:K)</f>
        <v>0</v>
      </c>
      <c r="G11" s="349">
        <f>SUMIF(竣工项目!C:C,B11,竣工项目!L:L)</f>
        <v>13835.26</v>
      </c>
      <c r="H11" s="349">
        <f>4783+3104.15</f>
        <v>7887.15</v>
      </c>
      <c r="I11" s="360"/>
    </row>
    <row r="12" ht="21" customHeight="1" spans="1:9">
      <c r="A12" s="345">
        <v>2</v>
      </c>
      <c r="B12" s="350"/>
      <c r="C12" s="347" t="s">
        <v>17</v>
      </c>
      <c r="D12" s="348">
        <f>COUNTIF(续建项目!C:C,B11)</f>
        <v>9</v>
      </c>
      <c r="E12" s="349">
        <f>SUMIF(续建项目!C:C,B11,续建项目!F:F)</f>
        <v>231637.23</v>
      </c>
      <c r="F12" s="349">
        <f>SUMIF(续建项目!C:C,B11,续建项目!K:K)</f>
        <v>80726.5764705882</v>
      </c>
      <c r="G12" s="349">
        <f>SUMIF(续建项目!C:C,B11,续建项目!L:L)</f>
        <v>72161.3</v>
      </c>
      <c r="H12" s="349">
        <f>9137+45986.1</f>
        <v>55123.1</v>
      </c>
      <c r="I12" s="360"/>
    </row>
    <row r="13" ht="21" customHeight="1" spans="1:9">
      <c r="A13" s="345">
        <v>3</v>
      </c>
      <c r="B13" s="350"/>
      <c r="C13" s="347" t="s">
        <v>18</v>
      </c>
      <c r="D13" s="348">
        <f>COUNTIF(新建项目!C:C,B11)</f>
        <v>5</v>
      </c>
      <c r="E13" s="349">
        <f>SUMIF(新建项目!C:C,B11,新建项目!F:F)</f>
        <v>43600.82</v>
      </c>
      <c r="F13" s="349">
        <f>SUMIF(新建项目!C:C,B11,新建项目!L:L)</f>
        <v>28604.9811764706</v>
      </c>
      <c r="G13" s="349">
        <f>SUMIF(新建项目!C:C,B11,新建项目!M:M)</f>
        <v>23130</v>
      </c>
      <c r="H13" s="349">
        <v>10700</v>
      </c>
      <c r="I13" s="360"/>
    </row>
    <row r="14" ht="21" customHeight="1" spans="1:9">
      <c r="A14" s="345">
        <v>4</v>
      </c>
      <c r="B14" s="350"/>
      <c r="C14" s="347" t="s">
        <v>19</v>
      </c>
      <c r="D14" s="348">
        <f>COUNTIF(储备库项目!C:C,B11)</f>
        <v>19</v>
      </c>
      <c r="E14" s="349">
        <f>SUMIF(储备库项目!C:C,B11,储备库项目!F:F)</f>
        <v>388384.8688</v>
      </c>
      <c r="F14" s="349">
        <v>0</v>
      </c>
      <c r="G14" s="349">
        <v>0</v>
      </c>
      <c r="H14" s="349">
        <v>3500</v>
      </c>
      <c r="I14" s="360"/>
    </row>
    <row r="15" ht="21" customHeight="1" spans="1:9">
      <c r="A15" s="345">
        <v>5</v>
      </c>
      <c r="B15" s="351"/>
      <c r="C15" s="347" t="s">
        <v>20</v>
      </c>
      <c r="D15" s="348">
        <v>0</v>
      </c>
      <c r="E15" s="349">
        <v>0</v>
      </c>
      <c r="F15" s="349">
        <v>0</v>
      </c>
      <c r="G15" s="349">
        <v>0</v>
      </c>
      <c r="H15" s="349">
        <v>0</v>
      </c>
      <c r="I15" s="360"/>
    </row>
    <row r="16" ht="21" customHeight="1" spans="1:11">
      <c r="A16" s="352" t="s">
        <v>25</v>
      </c>
      <c r="B16" s="352"/>
      <c r="C16" s="352"/>
      <c r="D16" s="353">
        <f t="shared" ref="D16:H16" si="1">SUM(D11:D15)</f>
        <v>58</v>
      </c>
      <c r="E16" s="354">
        <f t="shared" si="1"/>
        <v>769309.8188</v>
      </c>
      <c r="F16" s="354">
        <f t="shared" si="1"/>
        <v>109331.557647059</v>
      </c>
      <c r="G16" s="354">
        <f t="shared" si="1"/>
        <v>109126.56</v>
      </c>
      <c r="H16" s="354">
        <f t="shared" si="1"/>
        <v>77210.25</v>
      </c>
      <c r="I16" s="363"/>
      <c r="J16" s="362">
        <f>F16/$F$53</f>
        <v>0.35864309968941</v>
      </c>
      <c r="K16" s="362">
        <f>G16/$G$53</f>
        <v>0.270136331025487</v>
      </c>
    </row>
    <row r="17" ht="21" customHeight="1" spans="1:9">
      <c r="A17" s="345">
        <v>1</v>
      </c>
      <c r="B17" s="346" t="s">
        <v>27</v>
      </c>
      <c r="C17" s="347" t="s">
        <v>16</v>
      </c>
      <c r="D17" s="348">
        <f>COUNTIF(竣工项目!C:C,B17)</f>
        <v>20</v>
      </c>
      <c r="E17" s="349">
        <f>SUMIF(竣工项目!C:C,B17,竣工项目!F:F)</f>
        <v>113704.47</v>
      </c>
      <c r="F17" s="349">
        <f>SUMIF(竣工项目!C:C,B17,竣工项目!K:K)</f>
        <v>0</v>
      </c>
      <c r="G17" s="349">
        <f>SUMIF(竣工项目!C:C,B17,竣工项目!L:L)</f>
        <v>18471.446332</v>
      </c>
      <c r="H17" s="349">
        <v>4410.15</v>
      </c>
      <c r="I17" s="360"/>
    </row>
    <row r="18" ht="21" customHeight="1" spans="1:9">
      <c r="A18" s="345">
        <v>2</v>
      </c>
      <c r="B18" s="350"/>
      <c r="C18" s="347" t="s">
        <v>17</v>
      </c>
      <c r="D18" s="348">
        <f>COUNTIF(续建项目!C:C,B17)</f>
        <v>1</v>
      </c>
      <c r="E18" s="349">
        <f>SUMIF(续建项目!C:C,B17,续建项目!F:F)</f>
        <v>3680</v>
      </c>
      <c r="F18" s="349">
        <f>SUMIF(续建项目!C:C,B17,续建项目!K:K)</f>
        <v>1500</v>
      </c>
      <c r="G18" s="349">
        <f>SUMIF(续建项目!C:C,B17,续建项目!L:L)</f>
        <v>1200</v>
      </c>
      <c r="H18" s="349">
        <v>1865.5</v>
      </c>
      <c r="I18" s="360"/>
    </row>
    <row r="19" ht="21" customHeight="1" spans="1:9">
      <c r="A19" s="345">
        <v>3</v>
      </c>
      <c r="B19" s="350"/>
      <c r="C19" s="347" t="s">
        <v>18</v>
      </c>
      <c r="D19" s="348">
        <f>COUNTIF(新建项目!C:C,B17)</f>
        <v>1</v>
      </c>
      <c r="E19" s="349">
        <f>SUMIF(新建项目!C:C,B17,新建项目!F:F)</f>
        <v>30996.32</v>
      </c>
      <c r="F19" s="349">
        <f>SUMIF(新建项目!C:C,B17,新建项目!L:L)</f>
        <v>20000</v>
      </c>
      <c r="G19" s="349">
        <f>SUMIF(新建项目!C:C,B17,新建项目!M:M)</f>
        <v>18000</v>
      </c>
      <c r="H19" s="349">
        <v>2000</v>
      </c>
      <c r="I19" s="360"/>
    </row>
    <row r="20" ht="21" customHeight="1" spans="1:9">
      <c r="A20" s="345">
        <v>4</v>
      </c>
      <c r="B20" s="350"/>
      <c r="C20" s="347" t="s">
        <v>19</v>
      </c>
      <c r="D20" s="348">
        <f>COUNTIF(储备库项目!C:C,B17)</f>
        <v>1</v>
      </c>
      <c r="E20" s="349">
        <f>SUMIF(储备库项目!C:C,B17,储备库项目!F:F)</f>
        <v>3500</v>
      </c>
      <c r="F20" s="349">
        <v>0</v>
      </c>
      <c r="G20" s="349">
        <v>0</v>
      </c>
      <c r="H20" s="349">
        <v>500</v>
      </c>
      <c r="I20" s="360"/>
    </row>
    <row r="21" ht="21" customHeight="1" spans="1:9">
      <c r="A21" s="345">
        <v>5</v>
      </c>
      <c r="B21" s="351"/>
      <c r="C21" s="347" t="s">
        <v>20</v>
      </c>
      <c r="D21" s="348">
        <v>2</v>
      </c>
      <c r="E21" s="349">
        <v>80</v>
      </c>
      <c r="F21" s="349">
        <v>80</v>
      </c>
      <c r="G21" s="349">
        <v>80</v>
      </c>
      <c r="H21" s="349">
        <v>80</v>
      </c>
      <c r="I21" s="360"/>
    </row>
    <row r="22" ht="21" customHeight="1" spans="1:11">
      <c r="A22" s="352" t="s">
        <v>25</v>
      </c>
      <c r="B22" s="352"/>
      <c r="C22" s="352"/>
      <c r="D22" s="353">
        <f t="shared" ref="D22:H22" si="2">SUM(D17:D21)</f>
        <v>25</v>
      </c>
      <c r="E22" s="354">
        <f t="shared" si="2"/>
        <v>151960.79</v>
      </c>
      <c r="F22" s="354">
        <f t="shared" si="2"/>
        <v>21580</v>
      </c>
      <c r="G22" s="354">
        <f t="shared" si="2"/>
        <v>37751.446332</v>
      </c>
      <c r="H22" s="354">
        <f t="shared" si="2"/>
        <v>8855.65</v>
      </c>
      <c r="I22" s="361"/>
      <c r="J22" s="362">
        <f>F22/$F$53</f>
        <v>0.0707894249186678</v>
      </c>
      <c r="K22" s="362">
        <f>G22/$G$53</f>
        <v>0.0934514677547982</v>
      </c>
    </row>
    <row r="23" ht="21" customHeight="1" spans="1:9">
      <c r="A23" s="345">
        <v>1</v>
      </c>
      <c r="B23" s="346" t="s">
        <v>28</v>
      </c>
      <c r="C23" s="347" t="s">
        <v>16</v>
      </c>
      <c r="D23" s="348">
        <f>COUNTIF(竣工项目!C:C,B23)</f>
        <v>8</v>
      </c>
      <c r="E23" s="349">
        <f>SUMIF(竣工项目!C:C,B23,竣工项目!F:F)</f>
        <v>13917.6922</v>
      </c>
      <c r="F23" s="349">
        <f>SUMIF(竣工项目!C:C,B23,竣工项目!K:K)</f>
        <v>0</v>
      </c>
      <c r="G23" s="349">
        <f>SUMIF(竣工项目!C:C,B23,竣工项目!L:L)</f>
        <v>2497.62</v>
      </c>
      <c r="H23" s="349">
        <f>500+1500</f>
        <v>2000</v>
      </c>
      <c r="I23" s="360"/>
    </row>
    <row r="24" ht="21" customHeight="1" spans="1:9">
      <c r="A24" s="345">
        <v>2</v>
      </c>
      <c r="B24" s="350"/>
      <c r="C24" s="347" t="s">
        <v>17</v>
      </c>
      <c r="D24" s="348">
        <f>COUNTIF(续建项目!C:C,B23)</f>
        <v>0</v>
      </c>
      <c r="E24" s="349">
        <f>SUMIF(续建项目!C:C,B23,续建项目!F:F)</f>
        <v>0</v>
      </c>
      <c r="F24" s="349">
        <f>SUMIF(续建项目!C:C,B23,续建项目!K:K)</f>
        <v>0</v>
      </c>
      <c r="G24" s="349">
        <f>SUMIF(续建项目!C:C,B23,续建项目!L:L)</f>
        <v>0</v>
      </c>
      <c r="H24" s="349">
        <v>0</v>
      </c>
      <c r="I24" s="360"/>
    </row>
    <row r="25" ht="21" customHeight="1" spans="1:9">
      <c r="A25" s="345">
        <v>3</v>
      </c>
      <c r="B25" s="350"/>
      <c r="C25" s="347" t="s">
        <v>18</v>
      </c>
      <c r="D25" s="348">
        <f>COUNTIF(新建项目!C:C,B23)</f>
        <v>0</v>
      </c>
      <c r="E25" s="349">
        <f>SUMIF(新建项目!C:C,B23,新建项目!F:F)</f>
        <v>0</v>
      </c>
      <c r="F25" s="349">
        <f>SUMIF(新建项目!C:C,B23,新建项目!L:L)</f>
        <v>0</v>
      </c>
      <c r="G25" s="349">
        <f>SUMIF(新建项目!C:C,B23,新建项目!M:M)</f>
        <v>0</v>
      </c>
      <c r="H25" s="349">
        <v>0</v>
      </c>
      <c r="I25" s="360"/>
    </row>
    <row r="26" ht="21" customHeight="1" spans="1:9">
      <c r="A26" s="345">
        <v>4</v>
      </c>
      <c r="B26" s="350"/>
      <c r="C26" s="347" t="s">
        <v>19</v>
      </c>
      <c r="D26" s="348">
        <f>COUNTIF(储备库项目!C:C,B23)</f>
        <v>1</v>
      </c>
      <c r="E26" s="349">
        <f>SUMIF(储备库项目!C:C,B23,储备库项目!F:F)</f>
        <v>7413</v>
      </c>
      <c r="F26" s="349">
        <v>0</v>
      </c>
      <c r="G26" s="349">
        <v>0</v>
      </c>
      <c r="H26" s="349">
        <v>0</v>
      </c>
      <c r="I26" s="360"/>
    </row>
    <row r="27" ht="21" customHeight="1" spans="1:9">
      <c r="A27" s="345">
        <v>5</v>
      </c>
      <c r="B27" s="351"/>
      <c r="C27" s="347" t="s">
        <v>20</v>
      </c>
      <c r="D27" s="348">
        <v>0</v>
      </c>
      <c r="E27" s="349">
        <v>0</v>
      </c>
      <c r="F27" s="349">
        <v>0</v>
      </c>
      <c r="G27" s="349">
        <v>0</v>
      </c>
      <c r="H27" s="349">
        <v>0</v>
      </c>
      <c r="I27" s="360"/>
    </row>
    <row r="28" ht="21" customHeight="1" spans="1:11">
      <c r="A28" s="352" t="s">
        <v>25</v>
      </c>
      <c r="B28" s="352"/>
      <c r="C28" s="352"/>
      <c r="D28" s="353">
        <f t="shared" ref="D28:H28" si="3">SUM(D23:D27)</f>
        <v>9</v>
      </c>
      <c r="E28" s="354">
        <f t="shared" si="3"/>
        <v>21330.6922</v>
      </c>
      <c r="F28" s="354">
        <f t="shared" si="3"/>
        <v>0</v>
      </c>
      <c r="G28" s="354">
        <f t="shared" si="3"/>
        <v>2497.62</v>
      </c>
      <c r="H28" s="354">
        <f t="shared" si="3"/>
        <v>2000</v>
      </c>
      <c r="I28" s="361"/>
      <c r="J28" s="362">
        <f>F28/$F$53</f>
        <v>0</v>
      </c>
      <c r="K28" s="362">
        <f>G28/$G$53</f>
        <v>0.00618271026866307</v>
      </c>
    </row>
    <row r="29" ht="21" customHeight="1" spans="1:9">
      <c r="A29" s="345">
        <v>1</v>
      </c>
      <c r="B29" s="346" t="s">
        <v>29</v>
      </c>
      <c r="C29" s="347" t="s">
        <v>16</v>
      </c>
      <c r="D29" s="348">
        <f>COUNTIF(竣工项目!C:C,B29)</f>
        <v>1</v>
      </c>
      <c r="E29" s="349">
        <f>SUMIF(竣工项目!C:C,B29,竣工项目!F:F)</f>
        <v>370.09</v>
      </c>
      <c r="F29" s="349">
        <f>SUMIF(竣工项目!C:C,B29,竣工项目!K:K)</f>
        <v>0</v>
      </c>
      <c r="G29" s="349">
        <f>SUMIF(竣工项目!C:C,B29,竣工项目!L:L)</f>
        <v>20.8</v>
      </c>
      <c r="H29" s="349">
        <v>16.6</v>
      </c>
      <c r="I29" s="360"/>
    </row>
    <row r="30" ht="21" customHeight="1" spans="1:9">
      <c r="A30" s="345">
        <v>2</v>
      </c>
      <c r="B30" s="350"/>
      <c r="C30" s="347" t="s">
        <v>17</v>
      </c>
      <c r="D30" s="348">
        <f>COUNTIF(续建项目!C:C,B29)</f>
        <v>1</v>
      </c>
      <c r="E30" s="349">
        <f>SUMIF(续建项目!C:C,B29,续建项目!F:F)</f>
        <v>214880</v>
      </c>
      <c r="F30" s="349">
        <f>SUMIF(续建项目!C:C,B29,续建项目!K:K)</f>
        <v>35696</v>
      </c>
      <c r="G30" s="349">
        <f>SUMIF(续建项目!C:C,B29,续建项目!L:L)</f>
        <v>42793.495425</v>
      </c>
      <c r="H30" s="349">
        <v>36616.31</v>
      </c>
      <c r="I30" s="360"/>
    </row>
    <row r="31" ht="21" customHeight="1" spans="1:9">
      <c r="A31" s="345">
        <v>3</v>
      </c>
      <c r="B31" s="350"/>
      <c r="C31" s="347" t="s">
        <v>18</v>
      </c>
      <c r="D31" s="348">
        <f>COUNTIF(新建项目!C:C,B29)</f>
        <v>0</v>
      </c>
      <c r="E31" s="349">
        <f>SUMIF(新建项目!C:C,B29,新建项目!F:F)</f>
        <v>0</v>
      </c>
      <c r="F31" s="349">
        <f>SUMIF(新建项目!C:C,B29,新建项目!L:L)</f>
        <v>0</v>
      </c>
      <c r="G31" s="349">
        <f>SUMIF(新建项目!C:C,B29,新建项目!M:M)</f>
        <v>0</v>
      </c>
      <c r="H31" s="349">
        <v>0</v>
      </c>
      <c r="I31" s="360"/>
    </row>
    <row r="32" ht="21" customHeight="1" spans="1:9">
      <c r="A32" s="345">
        <v>4</v>
      </c>
      <c r="B32" s="350"/>
      <c r="C32" s="347" t="s">
        <v>19</v>
      </c>
      <c r="D32" s="348">
        <f>COUNTIF(储备库项目!C:C,B29)</f>
        <v>0</v>
      </c>
      <c r="E32" s="349">
        <f>SUMIF(储备库项目!C:C,B29,储备库项目!F:F)</f>
        <v>0</v>
      </c>
      <c r="F32" s="349">
        <v>0</v>
      </c>
      <c r="G32" s="349">
        <v>0</v>
      </c>
      <c r="H32" s="349">
        <v>0</v>
      </c>
      <c r="I32" s="360"/>
    </row>
    <row r="33" ht="21" customHeight="1" spans="1:9">
      <c r="A33" s="345">
        <v>5</v>
      </c>
      <c r="B33" s="351"/>
      <c r="C33" s="347" t="s">
        <v>20</v>
      </c>
      <c r="D33" s="348">
        <v>0</v>
      </c>
      <c r="E33" s="349">
        <v>0</v>
      </c>
      <c r="F33" s="349">
        <v>0</v>
      </c>
      <c r="G33" s="349">
        <v>0</v>
      </c>
      <c r="H33" s="349">
        <v>0</v>
      </c>
      <c r="I33" s="360"/>
    </row>
    <row r="34" ht="21" customHeight="1" spans="1:11">
      <c r="A34" s="355" t="s">
        <v>25</v>
      </c>
      <c r="B34" s="355"/>
      <c r="C34" s="355"/>
      <c r="D34" s="356">
        <f t="shared" ref="D34:H34" si="4">SUM(D29:D33)</f>
        <v>2</v>
      </c>
      <c r="E34" s="354">
        <f t="shared" si="4"/>
        <v>215250.09</v>
      </c>
      <c r="F34" s="354">
        <f t="shared" si="4"/>
        <v>35696</v>
      </c>
      <c r="G34" s="354">
        <f t="shared" si="4"/>
        <v>42814.295425</v>
      </c>
      <c r="H34" s="354">
        <f t="shared" si="4"/>
        <v>36632.91</v>
      </c>
      <c r="I34" s="361"/>
      <c r="J34" s="362">
        <f>F34/$F$53</f>
        <v>0.117094500087895</v>
      </c>
      <c r="K34" s="362">
        <f>G34/$G$53</f>
        <v>0.105984250594455</v>
      </c>
    </row>
    <row r="35" ht="21" customHeight="1" spans="1:9">
      <c r="A35" s="345">
        <v>1</v>
      </c>
      <c r="B35" s="346" t="s">
        <v>30</v>
      </c>
      <c r="C35" s="347" t="s">
        <v>16</v>
      </c>
      <c r="D35" s="348">
        <f>COUNTIF(竣工项目!C:C,B35)</f>
        <v>1</v>
      </c>
      <c r="E35" s="349">
        <f>SUMIF(竣工项目!C:C,B35,竣工项目!F:F)</f>
        <v>5558.96</v>
      </c>
      <c r="F35" s="349">
        <f>SUMIF(竣工项目!C:C,B35,竣工项目!K:K)</f>
        <v>0</v>
      </c>
      <c r="G35" s="349">
        <f>SUMIF(竣工项目!C:C,B35,竣工项目!L:L)</f>
        <v>766</v>
      </c>
      <c r="H35" s="349">
        <f>110+100+58.89</f>
        <v>268.89</v>
      </c>
      <c r="I35" s="360"/>
    </row>
    <row r="36" ht="21" customHeight="1" spans="1:9">
      <c r="A36" s="345">
        <v>2</v>
      </c>
      <c r="B36" s="350"/>
      <c r="C36" s="347" t="s">
        <v>17</v>
      </c>
      <c r="D36" s="348">
        <f>COUNTIF(续建项目!C:C,B35)</f>
        <v>0</v>
      </c>
      <c r="E36" s="349">
        <f>SUMIF(续建项目!C:C,B35,续建项目!F:F)</f>
        <v>0</v>
      </c>
      <c r="F36" s="349">
        <f>SUMIF(续建项目!C:C,B35,续建项目!K:K)</f>
        <v>0</v>
      </c>
      <c r="G36" s="349">
        <f>SUMIF(续建项目!C:C,B35,续建项目!L:L)</f>
        <v>0</v>
      </c>
      <c r="H36" s="349">
        <v>0</v>
      </c>
      <c r="I36" s="360"/>
    </row>
    <row r="37" ht="21" customHeight="1" spans="1:9">
      <c r="A37" s="345">
        <v>3</v>
      </c>
      <c r="B37" s="350"/>
      <c r="C37" s="347" t="s">
        <v>18</v>
      </c>
      <c r="D37" s="348">
        <f>COUNTIF(新建项目!C:C,B35)</f>
        <v>0</v>
      </c>
      <c r="E37" s="349">
        <f>SUMIF(新建项目!C:C,B35,新建项目!F:F)</f>
        <v>0</v>
      </c>
      <c r="F37" s="349">
        <f>SUMIF(新建项目!C:C,B35,新建项目!L:L)</f>
        <v>0</v>
      </c>
      <c r="G37" s="349">
        <f>SUMIF(新建项目!C:C,B35,新建项目!M:M)</f>
        <v>0</v>
      </c>
      <c r="H37" s="349">
        <v>0</v>
      </c>
      <c r="I37" s="360"/>
    </row>
    <row r="38" ht="21" customHeight="1" spans="1:9">
      <c r="A38" s="345">
        <v>4</v>
      </c>
      <c r="B38" s="350"/>
      <c r="C38" s="347" t="s">
        <v>19</v>
      </c>
      <c r="D38" s="348">
        <f>COUNTIF(储备库项目!C:C,B35)</f>
        <v>0</v>
      </c>
      <c r="E38" s="349">
        <f>SUMIF(储备库项目!C:C,B35,储备库项目!F:F)</f>
        <v>0</v>
      </c>
      <c r="F38" s="349">
        <v>0</v>
      </c>
      <c r="G38" s="349">
        <v>0</v>
      </c>
      <c r="H38" s="349">
        <v>0</v>
      </c>
      <c r="I38" s="360"/>
    </row>
    <row r="39" ht="21" customHeight="1" spans="1:9">
      <c r="A39" s="345">
        <v>5</v>
      </c>
      <c r="B39" s="351"/>
      <c r="C39" s="347" t="s">
        <v>20</v>
      </c>
      <c r="D39" s="348">
        <v>0</v>
      </c>
      <c r="E39" s="349">
        <v>0</v>
      </c>
      <c r="F39" s="349">
        <v>0</v>
      </c>
      <c r="G39" s="349">
        <v>0</v>
      </c>
      <c r="H39" s="349">
        <v>0</v>
      </c>
      <c r="I39" s="360"/>
    </row>
    <row r="40" ht="21" customHeight="1" spans="1:11">
      <c r="A40" s="352" t="s">
        <v>25</v>
      </c>
      <c r="B40" s="352"/>
      <c r="C40" s="352"/>
      <c r="D40" s="353">
        <f t="shared" ref="D40:H40" si="5">SUM(D35:D39)</f>
        <v>1</v>
      </c>
      <c r="E40" s="354">
        <f t="shared" si="5"/>
        <v>5558.96</v>
      </c>
      <c r="F40" s="354">
        <f t="shared" si="5"/>
        <v>0</v>
      </c>
      <c r="G40" s="354">
        <f t="shared" si="5"/>
        <v>766</v>
      </c>
      <c r="H40" s="354">
        <f t="shared" si="5"/>
        <v>268.89</v>
      </c>
      <c r="I40" s="363"/>
      <c r="J40" s="362">
        <f>F40/$F$53</f>
        <v>0</v>
      </c>
      <c r="K40" s="362">
        <f>G40/$G$53</f>
        <v>0.00189618759691062</v>
      </c>
    </row>
    <row r="41" ht="21" customHeight="1" spans="1:9">
      <c r="A41" s="345">
        <v>1</v>
      </c>
      <c r="B41" s="346" t="s">
        <v>31</v>
      </c>
      <c r="C41" s="347" t="s">
        <v>16</v>
      </c>
      <c r="D41" s="348">
        <f>COUNTIF(竣工项目!C:C,B41)</f>
        <v>1</v>
      </c>
      <c r="E41" s="349">
        <f>SUMIF(竣工项目!C:C,B41,竣工项目!F:F)</f>
        <v>684.89</v>
      </c>
      <c r="F41" s="349">
        <f>SUMIF(竣工项目!C:C,B41,竣工项目!K:K)</f>
        <v>0</v>
      </c>
      <c r="G41" s="349">
        <f>SUMIF(竣工项目!C:C,B41,竣工项目!L:L)</f>
        <v>36.05</v>
      </c>
      <c r="H41" s="349">
        <v>0</v>
      </c>
      <c r="I41" s="360"/>
    </row>
    <row r="42" ht="21" customHeight="1" spans="1:9">
      <c r="A42" s="345">
        <v>2</v>
      </c>
      <c r="B42" s="350"/>
      <c r="C42" s="347" t="s">
        <v>17</v>
      </c>
      <c r="D42" s="348">
        <f>COUNTIF(续建项目!C:C,B41)</f>
        <v>1</v>
      </c>
      <c r="E42" s="349">
        <f>SUMIF(续建项目!C:C,B41,续建项目!F:F)</f>
        <v>663.11</v>
      </c>
      <c r="F42" s="349">
        <f>SUMIF(续建项目!C:C,B41,续建项目!K:K)</f>
        <v>404.266</v>
      </c>
      <c r="G42" s="349">
        <f>SUMIF(续建项目!C:C,B41,续建项目!L:L)</f>
        <v>404.27</v>
      </c>
      <c r="H42" s="349">
        <v>0</v>
      </c>
      <c r="I42" s="360"/>
    </row>
    <row r="43" ht="21" customHeight="1" spans="1:9">
      <c r="A43" s="345">
        <v>3</v>
      </c>
      <c r="B43" s="350"/>
      <c r="C43" s="347" t="s">
        <v>18</v>
      </c>
      <c r="D43" s="348">
        <f>COUNTIF(新建项目!C:C,B41)</f>
        <v>0</v>
      </c>
      <c r="E43" s="349">
        <f>SUMIF(新建项目!C:C,B41,新建项目!F:F)</f>
        <v>0</v>
      </c>
      <c r="F43" s="349">
        <f>SUMIF(新建项目!C:C,B41,新建项目!L:L)</f>
        <v>0</v>
      </c>
      <c r="G43" s="349">
        <f>SUMIF(新建项目!C:C,B41,新建项目!M:M)</f>
        <v>0</v>
      </c>
      <c r="H43" s="349">
        <v>0</v>
      </c>
      <c r="I43" s="360"/>
    </row>
    <row r="44" ht="21" customHeight="1" spans="1:9">
      <c r="A44" s="345">
        <v>4</v>
      </c>
      <c r="B44" s="350"/>
      <c r="C44" s="347" t="s">
        <v>19</v>
      </c>
      <c r="D44" s="348">
        <f>COUNTIF(储备库项目!C:C,B41)</f>
        <v>4</v>
      </c>
      <c r="E44" s="349">
        <f>SUMIF(储备库项目!C:C,B41,储备库项目!F:F)</f>
        <v>3188.46</v>
      </c>
      <c r="F44" s="349">
        <v>0</v>
      </c>
      <c r="G44" s="349">
        <v>0</v>
      </c>
      <c r="H44" s="349">
        <v>300</v>
      </c>
      <c r="I44" s="360"/>
    </row>
    <row r="45" ht="21" customHeight="1" spans="1:9">
      <c r="A45" s="345">
        <v>5</v>
      </c>
      <c r="B45" s="351"/>
      <c r="C45" s="347" t="s">
        <v>20</v>
      </c>
      <c r="D45" s="348">
        <v>0</v>
      </c>
      <c r="E45" s="349">
        <v>0</v>
      </c>
      <c r="F45" s="349">
        <v>0</v>
      </c>
      <c r="G45" s="349">
        <v>0</v>
      </c>
      <c r="H45" s="349">
        <v>0</v>
      </c>
      <c r="I45" s="360"/>
    </row>
    <row r="46" ht="21" customHeight="1" spans="1:11">
      <c r="A46" s="352" t="s">
        <v>25</v>
      </c>
      <c r="B46" s="352"/>
      <c r="C46" s="352"/>
      <c r="D46" s="353">
        <f t="shared" ref="D46:H46" si="6">SUM(D41:D45)</f>
        <v>6</v>
      </c>
      <c r="E46" s="354">
        <f t="shared" si="6"/>
        <v>4536.46</v>
      </c>
      <c r="F46" s="354">
        <f t="shared" si="6"/>
        <v>404.266</v>
      </c>
      <c r="G46" s="354">
        <f t="shared" si="6"/>
        <v>440.32</v>
      </c>
      <c r="H46" s="354">
        <f t="shared" si="6"/>
        <v>300</v>
      </c>
      <c r="I46" s="361"/>
      <c r="J46" s="362">
        <f>F46/$F$53</f>
        <v>0.00132612408036006</v>
      </c>
      <c r="K46" s="362">
        <f>G46/$G$53</f>
        <v>0.00108998606092909</v>
      </c>
    </row>
    <row r="47" ht="21" customHeight="1" spans="1:12">
      <c r="A47" s="345">
        <v>1</v>
      </c>
      <c r="B47" s="346" t="s">
        <v>32</v>
      </c>
      <c r="C47" s="347" t="s">
        <v>16</v>
      </c>
      <c r="D47" s="348">
        <f>COUNTIF(竣工项目!C:C,B47)</f>
        <v>1</v>
      </c>
      <c r="E47" s="349">
        <v>678.578</v>
      </c>
      <c r="F47" s="349">
        <f>SUMIF(竣工项目!C:C,B47,竣工项目!K:K)</f>
        <v>0</v>
      </c>
      <c r="G47" s="349">
        <v>32.427</v>
      </c>
      <c r="H47" s="349">
        <v>32.4854</v>
      </c>
      <c r="I47" s="360"/>
      <c r="L47" s="337"/>
    </row>
    <row r="48" ht="21" customHeight="1" spans="1:14">
      <c r="A48" s="345">
        <v>2</v>
      </c>
      <c r="B48" s="350"/>
      <c r="C48" s="347" t="s">
        <v>17</v>
      </c>
      <c r="D48" s="348">
        <v>0</v>
      </c>
      <c r="E48" s="349">
        <v>0</v>
      </c>
      <c r="F48" s="349">
        <v>0</v>
      </c>
      <c r="G48" s="349">
        <v>0</v>
      </c>
      <c r="H48" s="349">
        <v>0</v>
      </c>
      <c r="I48" s="360"/>
      <c r="N48" s="337"/>
    </row>
    <row r="49" ht="21" customHeight="1" spans="1:9">
      <c r="A49" s="345">
        <v>3</v>
      </c>
      <c r="B49" s="347"/>
      <c r="C49" s="347" t="s">
        <v>18</v>
      </c>
      <c r="D49" s="348">
        <v>0</v>
      </c>
      <c r="E49" s="349">
        <v>0</v>
      </c>
      <c r="F49" s="349">
        <v>0</v>
      </c>
      <c r="G49" s="349">
        <v>0</v>
      </c>
      <c r="H49" s="349">
        <v>0</v>
      </c>
      <c r="I49" s="360"/>
    </row>
    <row r="50" ht="21" customHeight="1" spans="1:9">
      <c r="A50" s="345">
        <v>4</v>
      </c>
      <c r="B50" s="350"/>
      <c r="C50" s="347" t="s">
        <v>19</v>
      </c>
      <c r="D50" s="348">
        <v>0</v>
      </c>
      <c r="E50" s="349">
        <v>0</v>
      </c>
      <c r="F50" s="349">
        <v>0</v>
      </c>
      <c r="G50" s="349">
        <v>0</v>
      </c>
      <c r="H50" s="349">
        <v>0</v>
      </c>
      <c r="I50" s="360"/>
    </row>
    <row r="51" ht="21" customHeight="1" spans="1:9">
      <c r="A51" s="345">
        <v>5</v>
      </c>
      <c r="B51" s="351"/>
      <c r="C51" s="347" t="s">
        <v>20</v>
      </c>
      <c r="D51" s="348">
        <v>0</v>
      </c>
      <c r="E51" s="349">
        <v>0</v>
      </c>
      <c r="F51" s="349">
        <v>0</v>
      </c>
      <c r="G51" s="349">
        <v>0</v>
      </c>
      <c r="H51" s="349">
        <v>0</v>
      </c>
      <c r="I51" s="360"/>
    </row>
    <row r="52" ht="21" customHeight="1" spans="1:11">
      <c r="A52" s="352" t="s">
        <v>25</v>
      </c>
      <c r="B52" s="352"/>
      <c r="C52" s="352"/>
      <c r="D52" s="353">
        <f t="shared" ref="D52:H52" si="7">SUM(D47:D51)</f>
        <v>1</v>
      </c>
      <c r="E52" s="354">
        <f t="shared" si="7"/>
        <v>678.578</v>
      </c>
      <c r="F52" s="354">
        <f t="shared" si="7"/>
        <v>0</v>
      </c>
      <c r="G52" s="354">
        <f t="shared" si="7"/>
        <v>32.427</v>
      </c>
      <c r="H52" s="354">
        <f t="shared" si="7"/>
        <v>32.4854</v>
      </c>
      <c r="I52" s="361"/>
      <c r="J52" s="362">
        <f>F52/$F$53</f>
        <v>0</v>
      </c>
      <c r="K52" s="362">
        <f>G52/$G$53</f>
        <v>8.02711164556407e-5</v>
      </c>
    </row>
    <row r="53" ht="35" customHeight="1" spans="1:9">
      <c r="A53" s="357" t="s">
        <v>12</v>
      </c>
      <c r="B53" s="357"/>
      <c r="C53" s="357"/>
      <c r="D53" s="358">
        <f t="shared" ref="D53:H53" si="8">SUM(D10+D16+D22+D28+D34+D40+D46+D52)</f>
        <v>520</v>
      </c>
      <c r="E53" s="359">
        <f t="shared" si="8"/>
        <v>3034499.057514</v>
      </c>
      <c r="F53" s="359">
        <f t="shared" si="8"/>
        <v>304847.793647059</v>
      </c>
      <c r="G53" s="359">
        <f t="shared" si="8"/>
        <v>403968.468757</v>
      </c>
      <c r="H53" s="359">
        <f t="shared" si="8"/>
        <v>339565.15</v>
      </c>
      <c r="I53" s="361"/>
    </row>
    <row r="54" s="337" customFormat="1" ht="24" customHeight="1" spans="10:12">
      <c r="J54" s="338"/>
      <c r="L54" s="339"/>
    </row>
  </sheetData>
  <autoFilter ref="A4:M53">
    <extLst/>
  </autoFilter>
  <mergeCells count="20">
    <mergeCell ref="A1:B1"/>
    <mergeCell ref="A2:I2"/>
    <mergeCell ref="G3:I3"/>
    <mergeCell ref="A10:C10"/>
    <mergeCell ref="A16:C16"/>
    <mergeCell ref="A22:C22"/>
    <mergeCell ref="A28:C28"/>
    <mergeCell ref="A34:C34"/>
    <mergeCell ref="A40:C40"/>
    <mergeCell ref="A46:C46"/>
    <mergeCell ref="A52:C52"/>
    <mergeCell ref="A53:C53"/>
    <mergeCell ref="B5:B9"/>
    <mergeCell ref="B11:B15"/>
    <mergeCell ref="B17:B21"/>
    <mergeCell ref="B23:B27"/>
    <mergeCell ref="B29:B33"/>
    <mergeCell ref="B35:B39"/>
    <mergeCell ref="B41:B45"/>
    <mergeCell ref="B47:B51"/>
  </mergeCells>
  <printOptions horizontalCentered="1" verticalCentered="1"/>
  <pageMargins left="0.354166666666667" right="0.354166666666667" top="0.550694444444444" bottom="0.511805555555556" header="0.5" footer="0.5"/>
  <pageSetup paperSize="8" scale="119" fitToHeight="0" orientation="landscape" horizontalDpi="600"/>
  <headerFooter alignWithMargins="0"/>
  <rowBreaks count="1" manualBreakCount="1">
    <brk id="28"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N270"/>
  <sheetViews>
    <sheetView tabSelected="1" view="pageBreakPreview" zoomScale="70" zoomScaleNormal="100" workbookViewId="0">
      <pane ySplit="5" topLeftCell="A6" activePane="bottomLeft" state="frozen"/>
      <selection/>
      <selection pane="bottomLeft" activeCell="Y8" sqref="Y8"/>
    </sheetView>
  </sheetViews>
  <sheetFormatPr defaultColWidth="6.87962962962963" defaultRowHeight="15.6"/>
  <cols>
    <col min="1" max="1" width="5.87962962962963" style="146" customWidth="1"/>
    <col min="2" max="2" width="23.6574074074074" style="147" customWidth="1"/>
    <col min="3" max="3" width="8" style="147" customWidth="1"/>
    <col min="4" max="4" width="9.25" style="148" customWidth="1"/>
    <col min="5" max="5" width="45.3796296296296" style="149" customWidth="1"/>
    <col min="6" max="6" width="15.25" style="232" customWidth="1"/>
    <col min="7" max="7" width="6.75" style="151" customWidth="1"/>
    <col min="8" max="8" width="5.12962962962963" style="151" customWidth="1"/>
    <col min="9" max="9" width="12.5" style="151" customWidth="1"/>
    <col min="10" max="10" width="15.1296296296296" style="233" customWidth="1"/>
    <col min="11" max="11" width="10.4537037037037" style="233" customWidth="1"/>
    <col min="12" max="12" width="14.8796296296296" style="233" customWidth="1"/>
    <col min="13" max="13" width="14.5" style="234" customWidth="1"/>
    <col min="14" max="14" width="10.8796296296296" style="235" customWidth="1"/>
    <col min="15" max="16" width="12.0648148148148" style="236" hidden="1" customWidth="1"/>
    <col min="17" max="17" width="10" style="237" hidden="1" customWidth="1"/>
    <col min="18" max="18" width="10" style="238" customWidth="1"/>
    <col min="19" max="19" width="8.62962962962963" style="238" customWidth="1"/>
    <col min="20" max="20" width="8.36111111111111" style="239" customWidth="1"/>
    <col min="21" max="21" width="10.4722222222222" style="130" hidden="1" customWidth="1"/>
    <col min="22" max="248" width="6.87962962962963" style="21" customWidth="1"/>
    <col min="249" max="16384" width="6.87962962962963" style="231"/>
  </cols>
  <sheetData>
    <row r="1" ht="17.4" spans="1:3">
      <c r="A1" s="38" t="s">
        <v>0</v>
      </c>
      <c r="B1" s="155"/>
      <c r="C1" s="155"/>
    </row>
    <row r="2" ht="30" customHeight="1" spans="1:19">
      <c r="A2" s="39" t="s">
        <v>33</v>
      </c>
      <c r="B2" s="39"/>
      <c r="C2" s="39"/>
      <c r="D2" s="39"/>
      <c r="E2" s="40"/>
      <c r="F2" s="240"/>
      <c r="G2" s="39"/>
      <c r="H2" s="39"/>
      <c r="I2" s="39"/>
      <c r="J2" s="260"/>
      <c r="K2" s="260"/>
      <c r="L2" s="260"/>
      <c r="M2" s="240"/>
      <c r="N2" s="260"/>
      <c r="O2" s="261"/>
      <c r="P2" s="261"/>
      <c r="Q2" s="271"/>
      <c r="R2" s="271"/>
      <c r="S2" s="271"/>
    </row>
    <row r="3" s="21" customFormat="1" ht="18.75" customHeight="1" spans="1:21">
      <c r="A3" s="157"/>
      <c r="B3" s="147"/>
      <c r="C3" s="158"/>
      <c r="D3" s="159"/>
      <c r="E3" s="241"/>
      <c r="F3" s="242"/>
      <c r="G3" s="43"/>
      <c r="H3" s="43"/>
      <c r="I3" s="43"/>
      <c r="J3" s="262"/>
      <c r="K3" s="263"/>
      <c r="L3" s="264"/>
      <c r="M3" s="265" t="s">
        <v>2</v>
      </c>
      <c r="N3" s="266"/>
      <c r="O3" s="267"/>
      <c r="P3" s="267"/>
      <c r="Q3" s="272"/>
      <c r="R3" s="273"/>
      <c r="S3" s="273"/>
      <c r="T3" s="239"/>
      <c r="U3" s="130"/>
    </row>
    <row r="4" s="229" customFormat="1" ht="36" customHeight="1" spans="1:21">
      <c r="A4" s="47" t="s">
        <v>3</v>
      </c>
      <c r="B4" s="48" t="s">
        <v>34</v>
      </c>
      <c r="C4" s="48" t="s">
        <v>35</v>
      </c>
      <c r="D4" s="48" t="s">
        <v>36</v>
      </c>
      <c r="E4" s="48" t="s">
        <v>37</v>
      </c>
      <c r="F4" s="243" t="s">
        <v>6</v>
      </c>
      <c r="G4" s="48" t="s">
        <v>38</v>
      </c>
      <c r="H4" s="48" t="s">
        <v>39</v>
      </c>
      <c r="I4" s="48" t="s">
        <v>40</v>
      </c>
      <c r="J4" s="243" t="s">
        <v>41</v>
      </c>
      <c r="K4" s="243" t="s">
        <v>7</v>
      </c>
      <c r="L4" s="243" t="s">
        <v>8</v>
      </c>
      <c r="M4" s="243"/>
      <c r="N4" s="243"/>
      <c r="O4" s="163" t="s">
        <v>42</v>
      </c>
      <c r="P4" s="163" t="s">
        <v>43</v>
      </c>
      <c r="Q4" s="274" t="s">
        <v>9</v>
      </c>
      <c r="R4" s="274" t="s">
        <v>44</v>
      </c>
      <c r="S4" s="274" t="s">
        <v>10</v>
      </c>
      <c r="T4" s="239"/>
      <c r="U4" s="36"/>
    </row>
    <row r="5" s="229" customFormat="1" ht="25.5" customHeight="1" spans="1:21">
      <c r="A5" s="244"/>
      <c r="B5" s="48"/>
      <c r="C5" s="48"/>
      <c r="D5" s="48"/>
      <c r="E5" s="48"/>
      <c r="F5" s="243"/>
      <c r="G5" s="48"/>
      <c r="H5" s="48"/>
      <c r="I5" s="48"/>
      <c r="J5" s="243"/>
      <c r="K5" s="243"/>
      <c r="L5" s="243" t="s">
        <v>12</v>
      </c>
      <c r="M5" s="243" t="s">
        <v>45</v>
      </c>
      <c r="N5" s="243" t="s">
        <v>46</v>
      </c>
      <c r="O5" s="167"/>
      <c r="P5" s="167"/>
      <c r="Q5" s="275"/>
      <c r="R5" s="275"/>
      <c r="S5" s="275"/>
      <c r="T5" s="239"/>
      <c r="U5" s="36"/>
    </row>
    <row r="6" s="46" customFormat="1" ht="39" customHeight="1" spans="1:20">
      <c r="A6" s="245">
        <v>1</v>
      </c>
      <c r="B6" s="245">
        <v>2</v>
      </c>
      <c r="C6" s="245">
        <v>3</v>
      </c>
      <c r="D6" s="245">
        <v>4</v>
      </c>
      <c r="E6" s="245">
        <v>5</v>
      </c>
      <c r="F6" s="245">
        <v>6</v>
      </c>
      <c r="G6" s="245">
        <v>7</v>
      </c>
      <c r="H6" s="245">
        <v>8</v>
      </c>
      <c r="I6" s="245">
        <v>9</v>
      </c>
      <c r="J6" s="245">
        <v>10</v>
      </c>
      <c r="K6" s="245">
        <v>11</v>
      </c>
      <c r="L6" s="245">
        <v>12</v>
      </c>
      <c r="M6" s="245">
        <v>13</v>
      </c>
      <c r="N6" s="245">
        <v>14</v>
      </c>
      <c r="O6" s="245">
        <v>15</v>
      </c>
      <c r="P6" s="245">
        <v>16</v>
      </c>
      <c r="Q6" s="245">
        <v>17</v>
      </c>
      <c r="R6" s="245">
        <v>15</v>
      </c>
      <c r="S6" s="245">
        <v>16</v>
      </c>
      <c r="T6" s="239"/>
    </row>
    <row r="7" ht="31" customHeight="1" spans="1:19">
      <c r="A7" s="51" t="s">
        <v>47</v>
      </c>
      <c r="B7" s="52"/>
      <c r="C7" s="52"/>
      <c r="D7" s="52"/>
      <c r="E7" s="246"/>
      <c r="F7" s="247">
        <f t="shared" ref="F7:P7" si="0">SUM(F8:F270)</f>
        <v>869280.488714</v>
      </c>
      <c r="G7" s="248"/>
      <c r="H7" s="248"/>
      <c r="I7" s="248"/>
      <c r="J7" s="247">
        <f t="shared" si="0"/>
        <v>866865.13375</v>
      </c>
      <c r="K7" s="247">
        <f t="shared" si="0"/>
        <v>0</v>
      </c>
      <c r="L7" s="247">
        <f t="shared" si="0"/>
        <v>114383.083332</v>
      </c>
      <c r="M7" s="247">
        <f t="shared" si="0"/>
        <v>112372.933332</v>
      </c>
      <c r="N7" s="247">
        <f t="shared" si="0"/>
        <v>2010.15</v>
      </c>
      <c r="O7" s="247">
        <f t="shared" si="0"/>
        <v>53458.29</v>
      </c>
      <c r="P7" s="247">
        <f t="shared" si="0"/>
        <v>60568.166332</v>
      </c>
      <c r="Q7" s="276"/>
      <c r="R7" s="277"/>
      <c r="S7" s="277"/>
    </row>
    <row r="8" s="230" customFormat="1" ht="110" customHeight="1" spans="1:248">
      <c r="A8" s="249" t="s">
        <v>48</v>
      </c>
      <c r="B8" s="62" t="s">
        <v>49</v>
      </c>
      <c r="C8" s="62" t="s">
        <v>24</v>
      </c>
      <c r="D8" s="62" t="s">
        <v>50</v>
      </c>
      <c r="E8" s="63" t="s">
        <v>51</v>
      </c>
      <c r="F8" s="250">
        <v>85226.71</v>
      </c>
      <c r="G8" s="62" t="s">
        <v>52</v>
      </c>
      <c r="H8" s="62" t="s">
        <v>53</v>
      </c>
      <c r="I8" s="62" t="s">
        <v>54</v>
      </c>
      <c r="J8" s="89">
        <v>85226.71</v>
      </c>
      <c r="K8" s="89">
        <v>0</v>
      </c>
      <c r="L8" s="250">
        <f>M8+N8</f>
        <v>13651.7</v>
      </c>
      <c r="M8" s="89">
        <v>13651.7</v>
      </c>
      <c r="N8" s="185">
        <v>0</v>
      </c>
      <c r="O8" s="268">
        <v>6825.85</v>
      </c>
      <c r="P8" s="268">
        <v>6825.85</v>
      </c>
      <c r="Q8" s="278"/>
      <c r="R8" s="111" t="s">
        <v>55</v>
      </c>
      <c r="S8" s="111"/>
      <c r="T8" s="279"/>
      <c r="U8" s="280">
        <f>O8+P8-L8</f>
        <v>0</v>
      </c>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row>
    <row r="9" s="230" customFormat="1" ht="98" customHeight="1" spans="1:248">
      <c r="A9" s="249" t="s">
        <v>56</v>
      </c>
      <c r="B9" s="251" t="s">
        <v>57</v>
      </c>
      <c r="C9" s="251" t="s">
        <v>24</v>
      </c>
      <c r="D9" s="252" t="s">
        <v>58</v>
      </c>
      <c r="E9" s="253" t="s">
        <v>59</v>
      </c>
      <c r="F9" s="250">
        <v>44063.3</v>
      </c>
      <c r="G9" s="253" t="s">
        <v>60</v>
      </c>
      <c r="H9" s="251" t="s">
        <v>53</v>
      </c>
      <c r="I9" s="251" t="s">
        <v>61</v>
      </c>
      <c r="J9" s="89">
        <v>44063.3</v>
      </c>
      <c r="K9" s="89">
        <v>0</v>
      </c>
      <c r="L9" s="250">
        <f t="shared" ref="L9:L72" si="1">M9+N9</f>
        <v>5500</v>
      </c>
      <c r="M9" s="109">
        <v>5500</v>
      </c>
      <c r="N9" s="109">
        <v>0</v>
      </c>
      <c r="O9" s="268">
        <v>0</v>
      </c>
      <c r="P9" s="268">
        <v>5500</v>
      </c>
      <c r="Q9" s="278"/>
      <c r="R9" s="111" t="s">
        <v>62</v>
      </c>
      <c r="S9" s="111" t="s">
        <v>63</v>
      </c>
      <c r="T9" s="281"/>
      <c r="U9" s="280">
        <f t="shared" ref="U9:U72" si="2">O9+P9-L9</f>
        <v>0</v>
      </c>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row>
    <row r="10" s="230" customFormat="1" ht="54" customHeight="1" spans="1:248">
      <c r="A10" s="249" t="s">
        <v>64</v>
      </c>
      <c r="B10" s="73" t="s">
        <v>65</v>
      </c>
      <c r="C10" s="254" t="s">
        <v>24</v>
      </c>
      <c r="D10" s="71" t="s">
        <v>66</v>
      </c>
      <c r="E10" s="255" t="s">
        <v>67</v>
      </c>
      <c r="F10" s="250">
        <v>19792.55</v>
      </c>
      <c r="G10" s="58" t="s">
        <v>68</v>
      </c>
      <c r="H10" s="71" t="s">
        <v>53</v>
      </c>
      <c r="I10" s="58" t="s">
        <v>69</v>
      </c>
      <c r="J10" s="185">
        <f>9150+8761.55+586+668+627</f>
        <v>19792.55</v>
      </c>
      <c r="K10" s="185">
        <v>0</v>
      </c>
      <c r="L10" s="250">
        <f t="shared" si="1"/>
        <v>8500</v>
      </c>
      <c r="M10" s="185">
        <v>8500</v>
      </c>
      <c r="N10" s="185">
        <v>0</v>
      </c>
      <c r="O10" s="268">
        <v>4758</v>
      </c>
      <c r="P10" s="268">
        <v>3742</v>
      </c>
      <c r="Q10" s="278"/>
      <c r="R10" s="111" t="s">
        <v>62</v>
      </c>
      <c r="S10" s="111" t="s">
        <v>63</v>
      </c>
      <c r="T10" s="281"/>
      <c r="U10" s="280">
        <f t="shared" si="2"/>
        <v>0</v>
      </c>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row>
    <row r="11" s="230" customFormat="1" ht="85" customHeight="1" spans="1:248">
      <c r="A11" s="249" t="s">
        <v>70</v>
      </c>
      <c r="B11" s="62" t="s">
        <v>71</v>
      </c>
      <c r="C11" s="62" t="s">
        <v>24</v>
      </c>
      <c r="D11" s="62" t="s">
        <v>50</v>
      </c>
      <c r="E11" s="63" t="s">
        <v>72</v>
      </c>
      <c r="F11" s="250">
        <v>27438</v>
      </c>
      <c r="G11" s="62" t="s">
        <v>73</v>
      </c>
      <c r="H11" s="62" t="s">
        <v>53</v>
      </c>
      <c r="I11" s="62" t="s">
        <v>74</v>
      </c>
      <c r="J11" s="89">
        <v>27438</v>
      </c>
      <c r="K11" s="89">
        <v>0</v>
      </c>
      <c r="L11" s="250">
        <f t="shared" si="1"/>
        <v>3250</v>
      </c>
      <c r="M11" s="89">
        <v>3250</v>
      </c>
      <c r="N11" s="185">
        <v>0</v>
      </c>
      <c r="O11" s="268">
        <v>2800</v>
      </c>
      <c r="P11" s="268">
        <v>450</v>
      </c>
      <c r="Q11" s="278"/>
      <c r="R11" s="111" t="s">
        <v>55</v>
      </c>
      <c r="S11" s="111"/>
      <c r="T11" s="281"/>
      <c r="U11" s="280">
        <f t="shared" si="2"/>
        <v>0</v>
      </c>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row>
    <row r="12" s="230" customFormat="1" ht="81" customHeight="1" spans="1:248">
      <c r="A12" s="249" t="s">
        <v>75</v>
      </c>
      <c r="B12" s="58" t="s">
        <v>76</v>
      </c>
      <c r="C12" s="256" t="s">
        <v>24</v>
      </c>
      <c r="D12" s="71" t="s">
        <v>66</v>
      </c>
      <c r="E12" s="71" t="s">
        <v>77</v>
      </c>
      <c r="F12" s="250">
        <v>33441.57</v>
      </c>
      <c r="G12" s="89" t="s">
        <v>78</v>
      </c>
      <c r="H12" s="71" t="s">
        <v>53</v>
      </c>
      <c r="I12" s="269" t="s">
        <v>79</v>
      </c>
      <c r="J12" s="89">
        <v>33441.57</v>
      </c>
      <c r="K12" s="89">
        <v>0</v>
      </c>
      <c r="L12" s="250">
        <f t="shared" si="1"/>
        <v>2518</v>
      </c>
      <c r="M12" s="89">
        <v>2518</v>
      </c>
      <c r="N12" s="89">
        <v>0</v>
      </c>
      <c r="O12" s="268">
        <v>0</v>
      </c>
      <c r="P12" s="268">
        <v>2518</v>
      </c>
      <c r="Q12" s="278"/>
      <c r="R12" s="111" t="s">
        <v>62</v>
      </c>
      <c r="S12" s="111" t="s">
        <v>63</v>
      </c>
      <c r="T12" s="281"/>
      <c r="U12" s="280">
        <f t="shared" si="2"/>
        <v>0</v>
      </c>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row>
    <row r="13" s="230" customFormat="1" ht="164" customHeight="1" spans="1:248">
      <c r="A13" s="249" t="s">
        <v>80</v>
      </c>
      <c r="B13" s="73" t="s">
        <v>81</v>
      </c>
      <c r="C13" s="58" t="s">
        <v>24</v>
      </c>
      <c r="D13" s="252" t="s">
        <v>58</v>
      </c>
      <c r="E13" s="75" t="s">
        <v>82</v>
      </c>
      <c r="F13" s="250">
        <v>9325.69</v>
      </c>
      <c r="G13" s="73" t="s">
        <v>73</v>
      </c>
      <c r="H13" s="251" t="s">
        <v>53</v>
      </c>
      <c r="I13" s="73" t="s">
        <v>83</v>
      </c>
      <c r="J13" s="109">
        <v>9325.69</v>
      </c>
      <c r="K13" s="109">
        <v>0</v>
      </c>
      <c r="L13" s="250">
        <f t="shared" si="1"/>
        <v>2000</v>
      </c>
      <c r="M13" s="109">
        <v>2000</v>
      </c>
      <c r="N13" s="109">
        <v>0</v>
      </c>
      <c r="O13" s="268">
        <v>650</v>
      </c>
      <c r="P13" s="268">
        <v>1350</v>
      </c>
      <c r="Q13" s="278"/>
      <c r="R13" s="111" t="s">
        <v>62</v>
      </c>
      <c r="S13" s="111" t="s">
        <v>63</v>
      </c>
      <c r="T13" s="281"/>
      <c r="U13" s="280">
        <f t="shared" si="2"/>
        <v>0</v>
      </c>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row>
    <row r="14" s="230" customFormat="1" ht="126" customHeight="1" spans="1:248">
      <c r="A14" s="249" t="s">
        <v>84</v>
      </c>
      <c r="B14" s="58" t="s">
        <v>85</v>
      </c>
      <c r="C14" s="58" t="s">
        <v>24</v>
      </c>
      <c r="D14" s="71" t="s">
        <v>66</v>
      </c>
      <c r="E14" s="71" t="s">
        <v>86</v>
      </c>
      <c r="F14" s="250">
        <v>5366.58</v>
      </c>
      <c r="G14" s="89" t="s">
        <v>78</v>
      </c>
      <c r="H14" s="71" t="s">
        <v>53</v>
      </c>
      <c r="I14" s="269" t="s">
        <v>87</v>
      </c>
      <c r="J14" s="89">
        <v>5366.58</v>
      </c>
      <c r="K14" s="185">
        <v>0</v>
      </c>
      <c r="L14" s="250">
        <f t="shared" si="1"/>
        <v>1600</v>
      </c>
      <c r="M14" s="185">
        <v>1000</v>
      </c>
      <c r="N14" s="185">
        <v>600</v>
      </c>
      <c r="O14" s="268">
        <v>0</v>
      </c>
      <c r="P14" s="268">
        <v>1600</v>
      </c>
      <c r="Q14" s="282"/>
      <c r="R14" s="283" t="s">
        <v>88</v>
      </c>
      <c r="S14" s="283"/>
      <c r="T14" s="129" t="s">
        <v>89</v>
      </c>
      <c r="U14" s="280">
        <f t="shared" si="2"/>
        <v>0</v>
      </c>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row>
    <row r="15" s="230" customFormat="1" ht="60" customHeight="1" spans="1:248">
      <c r="A15" s="249" t="s">
        <v>90</v>
      </c>
      <c r="B15" s="73" t="s">
        <v>91</v>
      </c>
      <c r="C15" s="58" t="s">
        <v>24</v>
      </c>
      <c r="D15" s="252" t="s">
        <v>58</v>
      </c>
      <c r="E15" s="75" t="s">
        <v>92</v>
      </c>
      <c r="F15" s="250">
        <v>6162.19</v>
      </c>
      <c r="G15" s="89" t="s">
        <v>93</v>
      </c>
      <c r="H15" s="251" t="s">
        <v>53</v>
      </c>
      <c r="I15" s="73" t="s">
        <v>94</v>
      </c>
      <c r="J15" s="109">
        <f>F15</f>
        <v>6162.19</v>
      </c>
      <c r="K15" s="109">
        <v>0</v>
      </c>
      <c r="L15" s="250">
        <f t="shared" si="1"/>
        <v>1540</v>
      </c>
      <c r="M15" s="109">
        <v>1540</v>
      </c>
      <c r="N15" s="109">
        <v>0</v>
      </c>
      <c r="O15" s="268">
        <v>1540</v>
      </c>
      <c r="P15" s="268">
        <v>0</v>
      </c>
      <c r="Q15" s="278"/>
      <c r="R15" s="111" t="s">
        <v>95</v>
      </c>
      <c r="S15" s="111"/>
      <c r="T15" s="281"/>
      <c r="U15" s="280">
        <f t="shared" si="2"/>
        <v>0</v>
      </c>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row>
    <row r="16" s="230" customFormat="1" ht="113" customHeight="1" spans="1:248">
      <c r="A16" s="249" t="s">
        <v>96</v>
      </c>
      <c r="B16" s="58" t="s">
        <v>97</v>
      </c>
      <c r="C16" s="57" t="s">
        <v>24</v>
      </c>
      <c r="D16" s="72" t="s">
        <v>58</v>
      </c>
      <c r="E16" s="75" t="s">
        <v>98</v>
      </c>
      <c r="F16" s="185">
        <v>8361.94</v>
      </c>
      <c r="G16" s="57" t="s">
        <v>99</v>
      </c>
      <c r="H16" s="57" t="s">
        <v>100</v>
      </c>
      <c r="I16" s="58" t="s">
        <v>101</v>
      </c>
      <c r="J16" s="185">
        <v>8361.94</v>
      </c>
      <c r="K16" s="185">
        <v>0</v>
      </c>
      <c r="L16" s="250">
        <f t="shared" si="1"/>
        <v>1500</v>
      </c>
      <c r="M16" s="185">
        <v>1500</v>
      </c>
      <c r="N16" s="185">
        <v>0</v>
      </c>
      <c r="O16" s="268">
        <v>750</v>
      </c>
      <c r="P16" s="268">
        <v>750</v>
      </c>
      <c r="Q16" s="284"/>
      <c r="R16" s="57" t="s">
        <v>62</v>
      </c>
      <c r="S16" s="111" t="s">
        <v>63</v>
      </c>
      <c r="T16" s="222"/>
      <c r="U16" s="280">
        <f t="shared" si="2"/>
        <v>0</v>
      </c>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row>
    <row r="17" s="230" customFormat="1" ht="223" customHeight="1" spans="1:248">
      <c r="A17" s="249" t="s">
        <v>102</v>
      </c>
      <c r="B17" s="57" t="s">
        <v>103</v>
      </c>
      <c r="C17" s="57" t="s">
        <v>24</v>
      </c>
      <c r="D17" s="72" t="s">
        <v>58</v>
      </c>
      <c r="E17" s="257" t="s">
        <v>104</v>
      </c>
      <c r="F17" s="185">
        <v>1978.82</v>
      </c>
      <c r="G17" s="57" t="s">
        <v>105</v>
      </c>
      <c r="H17" s="57" t="s">
        <v>100</v>
      </c>
      <c r="I17" s="57" t="s">
        <v>106</v>
      </c>
      <c r="J17" s="185">
        <v>1978.82</v>
      </c>
      <c r="K17" s="185">
        <v>0</v>
      </c>
      <c r="L17" s="250">
        <f t="shared" si="1"/>
        <v>1500</v>
      </c>
      <c r="M17" s="185">
        <v>1500</v>
      </c>
      <c r="N17" s="185">
        <v>0</v>
      </c>
      <c r="O17" s="268">
        <v>1500</v>
      </c>
      <c r="P17" s="268">
        <v>0</v>
      </c>
      <c r="Q17" s="284"/>
      <c r="R17" s="57" t="s">
        <v>107</v>
      </c>
      <c r="S17" s="111" t="s">
        <v>63</v>
      </c>
      <c r="T17" s="222"/>
      <c r="U17" s="280">
        <f t="shared" si="2"/>
        <v>0</v>
      </c>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row>
    <row r="18" s="230" customFormat="1" ht="156" customHeight="1" spans="1:248">
      <c r="A18" s="249" t="s">
        <v>108</v>
      </c>
      <c r="B18" s="58" t="s">
        <v>109</v>
      </c>
      <c r="C18" s="58" t="s">
        <v>24</v>
      </c>
      <c r="D18" s="252" t="s">
        <v>110</v>
      </c>
      <c r="E18" s="71" t="s">
        <v>111</v>
      </c>
      <c r="F18" s="250">
        <v>22836</v>
      </c>
      <c r="G18" s="58" t="s">
        <v>112</v>
      </c>
      <c r="H18" s="58" t="s">
        <v>53</v>
      </c>
      <c r="I18" s="58" t="s">
        <v>113</v>
      </c>
      <c r="J18" s="89">
        <v>22836</v>
      </c>
      <c r="K18" s="89">
        <v>0</v>
      </c>
      <c r="L18" s="250">
        <f t="shared" si="1"/>
        <v>1500</v>
      </c>
      <c r="M18" s="89">
        <v>1500</v>
      </c>
      <c r="N18" s="89">
        <v>0</v>
      </c>
      <c r="O18" s="268">
        <v>800</v>
      </c>
      <c r="P18" s="268">
        <v>700</v>
      </c>
      <c r="Q18" s="285"/>
      <c r="R18" s="286" t="s">
        <v>88</v>
      </c>
      <c r="S18" s="111" t="s">
        <v>63</v>
      </c>
      <c r="T18" s="239"/>
      <c r="U18" s="280">
        <f t="shared" si="2"/>
        <v>0</v>
      </c>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row>
    <row r="19" s="230" customFormat="1" ht="84" customHeight="1" spans="1:248">
      <c r="A19" s="249" t="s">
        <v>114</v>
      </c>
      <c r="B19" s="251" t="s">
        <v>115</v>
      </c>
      <c r="C19" s="251" t="s">
        <v>24</v>
      </c>
      <c r="D19" s="252" t="s">
        <v>58</v>
      </c>
      <c r="E19" s="253" t="s">
        <v>116</v>
      </c>
      <c r="F19" s="250">
        <v>14057.11</v>
      </c>
      <c r="G19" s="253" t="s">
        <v>117</v>
      </c>
      <c r="H19" s="251" t="s">
        <v>53</v>
      </c>
      <c r="I19" s="251" t="s">
        <v>118</v>
      </c>
      <c r="J19" s="89">
        <v>14057.11</v>
      </c>
      <c r="K19" s="89">
        <v>0</v>
      </c>
      <c r="L19" s="250">
        <f t="shared" si="1"/>
        <v>1300</v>
      </c>
      <c r="M19" s="109">
        <v>1300</v>
      </c>
      <c r="N19" s="89">
        <v>0</v>
      </c>
      <c r="O19" s="268">
        <v>200</v>
      </c>
      <c r="P19" s="268">
        <v>1100</v>
      </c>
      <c r="Q19" s="278"/>
      <c r="R19" s="111" t="s">
        <v>62</v>
      </c>
      <c r="S19" s="111"/>
      <c r="T19" s="281"/>
      <c r="U19" s="280">
        <f t="shared" si="2"/>
        <v>0</v>
      </c>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row>
    <row r="20" s="230" customFormat="1" ht="70" customHeight="1" spans="1:248">
      <c r="A20" s="249" t="s">
        <v>119</v>
      </c>
      <c r="B20" s="251" t="s">
        <v>120</v>
      </c>
      <c r="C20" s="251" t="s">
        <v>24</v>
      </c>
      <c r="D20" s="252" t="s">
        <v>58</v>
      </c>
      <c r="E20" s="253" t="s">
        <v>121</v>
      </c>
      <c r="F20" s="250">
        <v>5579.33</v>
      </c>
      <c r="G20" s="253" t="s">
        <v>122</v>
      </c>
      <c r="H20" s="251" t="s">
        <v>53</v>
      </c>
      <c r="I20" s="251" t="s">
        <v>123</v>
      </c>
      <c r="J20" s="109">
        <v>5579.33</v>
      </c>
      <c r="K20" s="89">
        <v>0</v>
      </c>
      <c r="L20" s="250">
        <f t="shared" si="1"/>
        <v>1200</v>
      </c>
      <c r="M20" s="89">
        <v>1200</v>
      </c>
      <c r="N20" s="89">
        <v>0</v>
      </c>
      <c r="O20" s="268">
        <v>100</v>
      </c>
      <c r="P20" s="268">
        <v>1100</v>
      </c>
      <c r="Q20" s="278"/>
      <c r="R20" s="111" t="s">
        <v>62</v>
      </c>
      <c r="S20" s="111"/>
      <c r="T20" s="281"/>
      <c r="U20" s="280">
        <f t="shared" si="2"/>
        <v>0</v>
      </c>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row>
    <row r="21" s="230" customFormat="1" ht="113" customHeight="1" spans="1:248">
      <c r="A21" s="249" t="s">
        <v>124</v>
      </c>
      <c r="B21" s="58" t="s">
        <v>125</v>
      </c>
      <c r="C21" s="58" t="s">
        <v>24</v>
      </c>
      <c r="D21" s="252" t="s">
        <v>58</v>
      </c>
      <c r="E21" s="71" t="s">
        <v>126</v>
      </c>
      <c r="F21" s="250">
        <v>7227.71</v>
      </c>
      <c r="G21" s="58" t="s">
        <v>127</v>
      </c>
      <c r="H21" s="58" t="s">
        <v>53</v>
      </c>
      <c r="I21" s="89" t="s">
        <v>128</v>
      </c>
      <c r="J21" s="89">
        <v>7227.71</v>
      </c>
      <c r="K21" s="185">
        <v>0</v>
      </c>
      <c r="L21" s="250">
        <f t="shared" si="1"/>
        <v>1100</v>
      </c>
      <c r="M21" s="185">
        <v>1100</v>
      </c>
      <c r="N21" s="185">
        <v>0</v>
      </c>
      <c r="O21" s="268">
        <v>0</v>
      </c>
      <c r="P21" s="268">
        <v>1100</v>
      </c>
      <c r="Q21" s="278"/>
      <c r="R21" s="111" t="s">
        <v>62</v>
      </c>
      <c r="S21" s="111"/>
      <c r="T21" s="281"/>
      <c r="U21" s="280">
        <f t="shared" si="2"/>
        <v>0</v>
      </c>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row>
    <row r="22" s="230" customFormat="1" ht="81" customHeight="1" spans="1:248">
      <c r="A22" s="249" t="s">
        <v>129</v>
      </c>
      <c r="B22" s="58" t="s">
        <v>130</v>
      </c>
      <c r="C22" s="58" t="s">
        <v>24</v>
      </c>
      <c r="D22" s="252" t="s">
        <v>58</v>
      </c>
      <c r="E22" s="75" t="s">
        <v>131</v>
      </c>
      <c r="F22" s="250">
        <v>2962.44</v>
      </c>
      <c r="G22" s="89" t="s">
        <v>73</v>
      </c>
      <c r="H22" s="251" t="s">
        <v>53</v>
      </c>
      <c r="I22" s="73" t="s">
        <v>132</v>
      </c>
      <c r="J22" s="109">
        <f>F22</f>
        <v>2962.44</v>
      </c>
      <c r="K22" s="109">
        <v>0</v>
      </c>
      <c r="L22" s="250">
        <f t="shared" si="1"/>
        <v>1000</v>
      </c>
      <c r="M22" s="89">
        <v>1000</v>
      </c>
      <c r="N22" s="109">
        <v>0</v>
      </c>
      <c r="O22" s="268">
        <v>500</v>
      </c>
      <c r="P22" s="268">
        <v>500</v>
      </c>
      <c r="Q22" s="278"/>
      <c r="R22" s="111" t="s">
        <v>62</v>
      </c>
      <c r="S22" s="111"/>
      <c r="T22" s="281"/>
      <c r="U22" s="280">
        <f t="shared" si="2"/>
        <v>0</v>
      </c>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row>
    <row r="23" s="230" customFormat="1" ht="51" customHeight="1" spans="1:248">
      <c r="A23" s="249" t="s">
        <v>133</v>
      </c>
      <c r="B23" s="58" t="s">
        <v>134</v>
      </c>
      <c r="C23" s="57" t="s">
        <v>24</v>
      </c>
      <c r="D23" s="72" t="s">
        <v>58</v>
      </c>
      <c r="E23" s="75" t="s">
        <v>135</v>
      </c>
      <c r="F23" s="89">
        <v>8170.26</v>
      </c>
      <c r="G23" s="258" t="s">
        <v>136</v>
      </c>
      <c r="H23" s="58" t="s">
        <v>100</v>
      </c>
      <c r="I23" s="89" t="s">
        <v>137</v>
      </c>
      <c r="J23" s="89">
        <v>8170.26</v>
      </c>
      <c r="K23" s="185">
        <v>0</v>
      </c>
      <c r="L23" s="250">
        <f t="shared" si="1"/>
        <v>700</v>
      </c>
      <c r="M23" s="185">
        <v>700</v>
      </c>
      <c r="N23" s="185">
        <v>0</v>
      </c>
      <c r="O23" s="268">
        <v>0</v>
      </c>
      <c r="P23" s="268">
        <v>700</v>
      </c>
      <c r="Q23" s="284"/>
      <c r="R23" s="57" t="s">
        <v>62</v>
      </c>
      <c r="S23" s="111" t="s">
        <v>63</v>
      </c>
      <c r="T23" s="222"/>
      <c r="U23" s="280">
        <f t="shared" si="2"/>
        <v>0</v>
      </c>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row>
    <row r="24" s="230" customFormat="1" ht="65" customHeight="1" spans="1:248">
      <c r="A24" s="249" t="s">
        <v>138</v>
      </c>
      <c r="B24" s="57" t="s">
        <v>139</v>
      </c>
      <c r="C24" s="259" t="s">
        <v>24</v>
      </c>
      <c r="D24" s="57" t="s">
        <v>140</v>
      </c>
      <c r="E24" s="59" t="s">
        <v>141</v>
      </c>
      <c r="F24" s="250">
        <v>3214.2</v>
      </c>
      <c r="G24" s="57" t="s">
        <v>93</v>
      </c>
      <c r="H24" s="57" t="s">
        <v>53</v>
      </c>
      <c r="I24" s="57" t="s">
        <v>142</v>
      </c>
      <c r="J24" s="185">
        <v>3214.2</v>
      </c>
      <c r="K24" s="185">
        <v>0</v>
      </c>
      <c r="L24" s="250">
        <f t="shared" si="1"/>
        <v>912</v>
      </c>
      <c r="M24" s="185">
        <v>912</v>
      </c>
      <c r="N24" s="185">
        <v>0</v>
      </c>
      <c r="O24" s="268">
        <v>888.5</v>
      </c>
      <c r="P24" s="268">
        <v>23.5</v>
      </c>
      <c r="Q24" s="278"/>
      <c r="R24" s="111" t="s">
        <v>62</v>
      </c>
      <c r="S24" s="111"/>
      <c r="T24" s="281"/>
      <c r="U24" s="280">
        <f t="shared" si="2"/>
        <v>0</v>
      </c>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row>
    <row r="25" s="230" customFormat="1" ht="70" customHeight="1" spans="1:248">
      <c r="A25" s="249" t="s">
        <v>143</v>
      </c>
      <c r="B25" s="175" t="s">
        <v>144</v>
      </c>
      <c r="C25" s="61" t="s">
        <v>24</v>
      </c>
      <c r="D25" s="175" t="s">
        <v>145</v>
      </c>
      <c r="E25" s="211" t="s">
        <v>146</v>
      </c>
      <c r="F25" s="250">
        <v>3310.97</v>
      </c>
      <c r="G25" s="175" t="s">
        <v>147</v>
      </c>
      <c r="H25" s="175" t="s">
        <v>53</v>
      </c>
      <c r="I25" s="175" t="s">
        <v>148</v>
      </c>
      <c r="J25" s="185">
        <v>3310.97</v>
      </c>
      <c r="K25" s="185">
        <v>0</v>
      </c>
      <c r="L25" s="250">
        <f t="shared" si="1"/>
        <v>906</v>
      </c>
      <c r="M25" s="185">
        <v>906</v>
      </c>
      <c r="N25" s="185">
        <v>0</v>
      </c>
      <c r="O25" s="268">
        <v>6</v>
      </c>
      <c r="P25" s="268">
        <v>900</v>
      </c>
      <c r="Q25" s="278"/>
      <c r="R25" s="111" t="s">
        <v>62</v>
      </c>
      <c r="S25" s="111"/>
      <c r="T25" s="281"/>
      <c r="U25" s="280">
        <f t="shared" si="2"/>
        <v>0</v>
      </c>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row>
    <row r="26" s="230" customFormat="1" ht="57.6" spans="1:248">
      <c r="A26" s="249" t="s">
        <v>149</v>
      </c>
      <c r="B26" s="57" t="s">
        <v>150</v>
      </c>
      <c r="C26" s="61" t="s">
        <v>24</v>
      </c>
      <c r="D26" s="57" t="s">
        <v>140</v>
      </c>
      <c r="E26" s="59" t="s">
        <v>151</v>
      </c>
      <c r="F26" s="250">
        <v>3131</v>
      </c>
      <c r="G26" s="57" t="s">
        <v>93</v>
      </c>
      <c r="H26" s="57" t="s">
        <v>53</v>
      </c>
      <c r="I26" s="57" t="s">
        <v>152</v>
      </c>
      <c r="J26" s="185">
        <v>3131</v>
      </c>
      <c r="K26" s="185">
        <v>0</v>
      </c>
      <c r="L26" s="250">
        <f t="shared" si="1"/>
        <v>893</v>
      </c>
      <c r="M26" s="185">
        <v>893</v>
      </c>
      <c r="N26" s="185">
        <v>0</v>
      </c>
      <c r="O26" s="268">
        <v>889</v>
      </c>
      <c r="P26" s="268">
        <v>4</v>
      </c>
      <c r="Q26" s="278"/>
      <c r="R26" s="111" t="s">
        <v>62</v>
      </c>
      <c r="S26" s="111"/>
      <c r="T26" s="281"/>
      <c r="U26" s="280">
        <f t="shared" si="2"/>
        <v>0</v>
      </c>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row>
    <row r="27" s="230" customFormat="1" ht="48" customHeight="1" spans="1:248">
      <c r="A27" s="249" t="s">
        <v>153</v>
      </c>
      <c r="B27" s="58" t="s">
        <v>154</v>
      </c>
      <c r="C27" s="58" t="s">
        <v>24</v>
      </c>
      <c r="D27" s="252" t="s">
        <v>110</v>
      </c>
      <c r="E27" s="71" t="s">
        <v>155</v>
      </c>
      <c r="F27" s="250">
        <v>7802.75</v>
      </c>
      <c r="G27" s="58" t="s">
        <v>156</v>
      </c>
      <c r="H27" s="58" t="s">
        <v>53</v>
      </c>
      <c r="I27" s="58" t="s">
        <v>157</v>
      </c>
      <c r="J27" s="89">
        <v>7802.75</v>
      </c>
      <c r="K27" s="89">
        <v>0</v>
      </c>
      <c r="L27" s="250">
        <f t="shared" si="1"/>
        <v>800</v>
      </c>
      <c r="M27" s="89">
        <v>800</v>
      </c>
      <c r="N27" s="89">
        <v>0</v>
      </c>
      <c r="O27" s="268">
        <v>500</v>
      </c>
      <c r="P27" s="268">
        <v>300</v>
      </c>
      <c r="Q27" s="285"/>
      <c r="R27" s="287" t="s">
        <v>62</v>
      </c>
      <c r="S27" s="111" t="s">
        <v>63</v>
      </c>
      <c r="T27" s="239"/>
      <c r="U27" s="280">
        <f t="shared" si="2"/>
        <v>0</v>
      </c>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row>
    <row r="28" s="230" customFormat="1" ht="56" customHeight="1" spans="1:248">
      <c r="A28" s="249" t="s">
        <v>158</v>
      </c>
      <c r="B28" s="58" t="s">
        <v>159</v>
      </c>
      <c r="C28" s="58" t="s">
        <v>24</v>
      </c>
      <c r="D28" s="71" t="s">
        <v>66</v>
      </c>
      <c r="E28" s="71" t="s">
        <v>160</v>
      </c>
      <c r="F28" s="250">
        <v>10675.85</v>
      </c>
      <c r="G28" s="89" t="s">
        <v>161</v>
      </c>
      <c r="H28" s="71" t="s">
        <v>53</v>
      </c>
      <c r="I28" s="269" t="s">
        <v>162</v>
      </c>
      <c r="J28" s="89">
        <v>10463</v>
      </c>
      <c r="K28" s="185">
        <v>0</v>
      </c>
      <c r="L28" s="250">
        <v>765</v>
      </c>
      <c r="M28" s="185">
        <v>765</v>
      </c>
      <c r="N28" s="185">
        <v>0</v>
      </c>
      <c r="O28" s="268">
        <v>500</v>
      </c>
      <c r="P28" s="268">
        <v>265</v>
      </c>
      <c r="Q28" s="278"/>
      <c r="R28" s="111" t="s">
        <v>88</v>
      </c>
      <c r="S28" s="111"/>
      <c r="T28" s="281"/>
      <c r="U28" s="280">
        <f t="shared" si="2"/>
        <v>0</v>
      </c>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row>
    <row r="29" s="230" customFormat="1" ht="57" customHeight="1" spans="1:248">
      <c r="A29" s="249" t="s">
        <v>163</v>
      </c>
      <c r="B29" s="251" t="s">
        <v>164</v>
      </c>
      <c r="C29" s="251" t="s">
        <v>24</v>
      </c>
      <c r="D29" s="252" t="s">
        <v>58</v>
      </c>
      <c r="E29" s="253" t="s">
        <v>165</v>
      </c>
      <c r="F29" s="250">
        <v>5726.16</v>
      </c>
      <c r="G29" s="253" t="s">
        <v>166</v>
      </c>
      <c r="H29" s="251" t="s">
        <v>53</v>
      </c>
      <c r="I29" s="251" t="s">
        <v>167</v>
      </c>
      <c r="J29" s="109">
        <v>5726.16</v>
      </c>
      <c r="K29" s="89">
        <v>0</v>
      </c>
      <c r="L29" s="250">
        <f t="shared" si="1"/>
        <v>725</v>
      </c>
      <c r="M29" s="89">
        <v>725</v>
      </c>
      <c r="N29" s="89">
        <v>0</v>
      </c>
      <c r="O29" s="268">
        <v>100</v>
      </c>
      <c r="P29" s="268">
        <v>625</v>
      </c>
      <c r="Q29" s="278"/>
      <c r="R29" s="111" t="s">
        <v>62</v>
      </c>
      <c r="S29" s="111"/>
      <c r="T29" s="281"/>
      <c r="U29" s="280">
        <f t="shared" si="2"/>
        <v>0</v>
      </c>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row>
    <row r="30" s="230" customFormat="1" ht="93" customHeight="1" spans="1:248">
      <c r="A30" s="249" t="s">
        <v>168</v>
      </c>
      <c r="B30" s="73" t="s">
        <v>169</v>
      </c>
      <c r="C30" s="58" t="s">
        <v>24</v>
      </c>
      <c r="D30" s="252" t="s">
        <v>58</v>
      </c>
      <c r="E30" s="255" t="s">
        <v>170</v>
      </c>
      <c r="F30" s="250">
        <v>4325.98</v>
      </c>
      <c r="G30" s="58" t="s">
        <v>156</v>
      </c>
      <c r="H30" s="58" t="s">
        <v>53</v>
      </c>
      <c r="I30" s="58" t="s">
        <v>171</v>
      </c>
      <c r="J30" s="89">
        <v>4325.98</v>
      </c>
      <c r="K30" s="185">
        <v>0</v>
      </c>
      <c r="L30" s="250">
        <f t="shared" si="1"/>
        <v>700</v>
      </c>
      <c r="M30" s="185">
        <v>700</v>
      </c>
      <c r="N30" s="185">
        <v>0</v>
      </c>
      <c r="O30" s="268">
        <v>350</v>
      </c>
      <c r="P30" s="268">
        <v>350</v>
      </c>
      <c r="Q30" s="278"/>
      <c r="R30" s="111" t="s">
        <v>62</v>
      </c>
      <c r="S30" s="111" t="s">
        <v>63</v>
      </c>
      <c r="T30" s="281"/>
      <c r="U30" s="280">
        <f t="shared" si="2"/>
        <v>0</v>
      </c>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row>
    <row r="31" s="230" customFormat="1" ht="126" customHeight="1" spans="1:248">
      <c r="A31" s="249" t="s">
        <v>172</v>
      </c>
      <c r="B31" s="73" t="s">
        <v>173</v>
      </c>
      <c r="C31" s="58" t="s">
        <v>24</v>
      </c>
      <c r="D31" s="71" t="s">
        <v>66</v>
      </c>
      <c r="E31" s="255" t="s">
        <v>174</v>
      </c>
      <c r="F31" s="250">
        <v>7850.21</v>
      </c>
      <c r="G31" s="58" t="s">
        <v>73</v>
      </c>
      <c r="H31" s="73" t="s">
        <v>53</v>
      </c>
      <c r="I31" s="58" t="s">
        <v>175</v>
      </c>
      <c r="J31" s="185">
        <v>7800</v>
      </c>
      <c r="K31" s="185">
        <v>0</v>
      </c>
      <c r="L31" s="250">
        <v>1800</v>
      </c>
      <c r="M31" s="185">
        <v>1800</v>
      </c>
      <c r="N31" s="185">
        <v>0</v>
      </c>
      <c r="O31" s="268">
        <v>600</v>
      </c>
      <c r="P31" s="268">
        <v>1200</v>
      </c>
      <c r="Q31" s="278"/>
      <c r="R31" s="111" t="s">
        <v>62</v>
      </c>
      <c r="S31" s="111" t="s">
        <v>63</v>
      </c>
      <c r="T31" s="281"/>
      <c r="U31" s="280">
        <f t="shared" si="2"/>
        <v>0</v>
      </c>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row>
    <row r="32" s="230" customFormat="1" ht="86" customHeight="1" spans="1:248">
      <c r="A32" s="249" t="s">
        <v>176</v>
      </c>
      <c r="B32" s="58" t="s">
        <v>177</v>
      </c>
      <c r="C32" s="58" t="s">
        <v>24</v>
      </c>
      <c r="D32" s="71" t="s">
        <v>66</v>
      </c>
      <c r="E32" s="71" t="s">
        <v>178</v>
      </c>
      <c r="F32" s="250">
        <v>10914.03</v>
      </c>
      <c r="G32" s="89" t="s">
        <v>179</v>
      </c>
      <c r="H32" s="71" t="s">
        <v>53</v>
      </c>
      <c r="I32" s="269" t="s">
        <v>180</v>
      </c>
      <c r="J32" s="89">
        <v>10914.03</v>
      </c>
      <c r="K32" s="89">
        <v>0</v>
      </c>
      <c r="L32" s="250">
        <f t="shared" si="1"/>
        <v>500</v>
      </c>
      <c r="M32" s="89">
        <v>500</v>
      </c>
      <c r="N32" s="89">
        <v>0</v>
      </c>
      <c r="O32" s="268">
        <v>0</v>
      </c>
      <c r="P32" s="268">
        <v>500</v>
      </c>
      <c r="Q32" s="278"/>
      <c r="R32" s="111" t="s">
        <v>62</v>
      </c>
      <c r="S32" s="111"/>
      <c r="T32" s="281"/>
      <c r="U32" s="280">
        <f t="shared" si="2"/>
        <v>0</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row>
    <row r="33" s="230" customFormat="1" ht="77" customHeight="1" spans="1:248">
      <c r="A33" s="249" t="s">
        <v>181</v>
      </c>
      <c r="B33" s="62" t="s">
        <v>182</v>
      </c>
      <c r="C33" s="62" t="s">
        <v>24</v>
      </c>
      <c r="D33" s="62" t="s">
        <v>183</v>
      </c>
      <c r="E33" s="63" t="s">
        <v>184</v>
      </c>
      <c r="F33" s="250">
        <v>9431</v>
      </c>
      <c r="G33" s="62" t="s">
        <v>185</v>
      </c>
      <c r="H33" s="62" t="s">
        <v>53</v>
      </c>
      <c r="I33" s="62" t="s">
        <v>186</v>
      </c>
      <c r="J33" s="89">
        <v>9431</v>
      </c>
      <c r="K33" s="89">
        <v>0</v>
      </c>
      <c r="L33" s="250">
        <f t="shared" si="1"/>
        <v>500</v>
      </c>
      <c r="M33" s="89">
        <v>500</v>
      </c>
      <c r="N33" s="185">
        <v>0</v>
      </c>
      <c r="O33" s="268">
        <v>250</v>
      </c>
      <c r="P33" s="268">
        <v>250</v>
      </c>
      <c r="Q33" s="278"/>
      <c r="R33" s="111" t="s">
        <v>62</v>
      </c>
      <c r="S33" s="111" t="s">
        <v>63</v>
      </c>
      <c r="T33" s="281"/>
      <c r="U33" s="280">
        <f t="shared" si="2"/>
        <v>0</v>
      </c>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row>
    <row r="34" s="230" customFormat="1" ht="55" customHeight="1" spans="1:248">
      <c r="A34" s="249" t="s">
        <v>187</v>
      </c>
      <c r="B34" s="73" t="s">
        <v>188</v>
      </c>
      <c r="C34" s="73" t="s">
        <v>24</v>
      </c>
      <c r="D34" s="252" t="s">
        <v>58</v>
      </c>
      <c r="E34" s="75" t="s">
        <v>189</v>
      </c>
      <c r="F34" s="250">
        <v>3168</v>
      </c>
      <c r="G34" s="73" t="s">
        <v>117</v>
      </c>
      <c r="H34" s="73" t="s">
        <v>53</v>
      </c>
      <c r="I34" s="73" t="s">
        <v>190</v>
      </c>
      <c r="J34" s="185">
        <v>3168</v>
      </c>
      <c r="K34" s="185">
        <v>0</v>
      </c>
      <c r="L34" s="250">
        <f t="shared" si="1"/>
        <v>475</v>
      </c>
      <c r="M34" s="185">
        <v>475</v>
      </c>
      <c r="N34" s="185">
        <v>0</v>
      </c>
      <c r="O34" s="268">
        <v>0</v>
      </c>
      <c r="P34" s="268">
        <v>475</v>
      </c>
      <c r="Q34" s="278"/>
      <c r="R34" s="111" t="s">
        <v>62</v>
      </c>
      <c r="S34" s="111"/>
      <c r="T34" s="281"/>
      <c r="U34" s="280">
        <f t="shared" si="2"/>
        <v>0</v>
      </c>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row>
    <row r="35" s="230" customFormat="1" ht="98" customHeight="1" spans="1:248">
      <c r="A35" s="249" t="s">
        <v>191</v>
      </c>
      <c r="B35" s="175" t="s">
        <v>192</v>
      </c>
      <c r="C35" s="61" t="s">
        <v>24</v>
      </c>
      <c r="D35" s="175" t="s">
        <v>145</v>
      </c>
      <c r="E35" s="211" t="s">
        <v>193</v>
      </c>
      <c r="F35" s="250">
        <v>2283.22</v>
      </c>
      <c r="G35" s="175" t="s">
        <v>78</v>
      </c>
      <c r="H35" s="175" t="s">
        <v>53</v>
      </c>
      <c r="I35" s="175" t="s">
        <v>194</v>
      </c>
      <c r="J35" s="185">
        <v>2283.22</v>
      </c>
      <c r="K35" s="185">
        <v>0</v>
      </c>
      <c r="L35" s="250">
        <f t="shared" si="1"/>
        <v>465</v>
      </c>
      <c r="M35" s="185">
        <v>465</v>
      </c>
      <c r="N35" s="185">
        <v>0</v>
      </c>
      <c r="O35" s="268">
        <v>0</v>
      </c>
      <c r="P35" s="268">
        <v>465</v>
      </c>
      <c r="Q35" s="278"/>
      <c r="R35" s="111" t="s">
        <v>62</v>
      </c>
      <c r="S35" s="111"/>
      <c r="T35" s="281"/>
      <c r="U35" s="280">
        <f t="shared" si="2"/>
        <v>0</v>
      </c>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row>
    <row r="36" s="230" customFormat="1" ht="66" customHeight="1" spans="1:248">
      <c r="A36" s="249" t="s">
        <v>195</v>
      </c>
      <c r="B36" s="73" t="s">
        <v>196</v>
      </c>
      <c r="C36" s="58" t="s">
        <v>24</v>
      </c>
      <c r="D36" s="252" t="s">
        <v>58</v>
      </c>
      <c r="E36" s="75" t="s">
        <v>197</v>
      </c>
      <c r="F36" s="250">
        <v>924.72</v>
      </c>
      <c r="G36" s="73" t="s">
        <v>93</v>
      </c>
      <c r="H36" s="251" t="s">
        <v>53</v>
      </c>
      <c r="I36" s="73" t="s">
        <v>198</v>
      </c>
      <c r="J36" s="109">
        <f>F36</f>
        <v>924.72</v>
      </c>
      <c r="K36" s="109">
        <v>0</v>
      </c>
      <c r="L36" s="250">
        <f t="shared" si="1"/>
        <v>461</v>
      </c>
      <c r="M36" s="109">
        <v>461</v>
      </c>
      <c r="N36" s="109">
        <v>0</v>
      </c>
      <c r="O36" s="268">
        <v>461</v>
      </c>
      <c r="P36" s="268">
        <v>0</v>
      </c>
      <c r="Q36" s="278"/>
      <c r="R36" s="111" t="s">
        <v>107</v>
      </c>
      <c r="S36" s="111"/>
      <c r="T36" s="281"/>
      <c r="U36" s="280">
        <f t="shared" si="2"/>
        <v>0</v>
      </c>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row>
    <row r="37" s="230" customFormat="1" ht="70" customHeight="1" spans="1:248">
      <c r="A37" s="249" t="s">
        <v>199</v>
      </c>
      <c r="B37" s="251" t="s">
        <v>200</v>
      </c>
      <c r="C37" s="251" t="s">
        <v>24</v>
      </c>
      <c r="D37" s="252" t="s">
        <v>58</v>
      </c>
      <c r="E37" s="253" t="s">
        <v>201</v>
      </c>
      <c r="F37" s="250">
        <v>871.9</v>
      </c>
      <c r="G37" s="253" t="s">
        <v>117</v>
      </c>
      <c r="H37" s="251" t="s">
        <v>53</v>
      </c>
      <c r="I37" s="251" t="s">
        <v>202</v>
      </c>
      <c r="J37" s="270">
        <v>871.9</v>
      </c>
      <c r="K37" s="89">
        <v>0</v>
      </c>
      <c r="L37" s="250">
        <f t="shared" si="1"/>
        <v>433</v>
      </c>
      <c r="M37" s="109">
        <v>433</v>
      </c>
      <c r="N37" s="89">
        <v>0</v>
      </c>
      <c r="O37" s="268">
        <v>0</v>
      </c>
      <c r="P37" s="268">
        <v>433</v>
      </c>
      <c r="Q37" s="278"/>
      <c r="R37" s="111" t="s">
        <v>62</v>
      </c>
      <c r="S37" s="111"/>
      <c r="T37" s="281"/>
      <c r="U37" s="280">
        <f t="shared" si="2"/>
        <v>0</v>
      </c>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row>
    <row r="38" s="230" customFormat="1" ht="80" customHeight="1" spans="1:248">
      <c r="A38" s="249" t="s">
        <v>203</v>
      </c>
      <c r="B38" s="58" t="s">
        <v>204</v>
      </c>
      <c r="C38" s="58" t="s">
        <v>24</v>
      </c>
      <c r="D38" s="252" t="s">
        <v>58</v>
      </c>
      <c r="E38" s="71" t="s">
        <v>205</v>
      </c>
      <c r="F38" s="250">
        <v>3096.21</v>
      </c>
      <c r="G38" s="58" t="s">
        <v>117</v>
      </c>
      <c r="H38" s="58" t="s">
        <v>53</v>
      </c>
      <c r="I38" s="89" t="s">
        <v>206</v>
      </c>
      <c r="J38" s="89">
        <v>3096.21</v>
      </c>
      <c r="K38" s="185">
        <v>0</v>
      </c>
      <c r="L38" s="250">
        <f t="shared" si="1"/>
        <v>430</v>
      </c>
      <c r="M38" s="185">
        <v>430</v>
      </c>
      <c r="N38" s="185">
        <v>0</v>
      </c>
      <c r="O38" s="268">
        <v>430</v>
      </c>
      <c r="P38" s="268">
        <v>0</v>
      </c>
      <c r="Q38" s="278"/>
      <c r="R38" s="111" t="s">
        <v>62</v>
      </c>
      <c r="S38" s="111"/>
      <c r="T38" s="281"/>
      <c r="U38" s="280">
        <f t="shared" si="2"/>
        <v>0</v>
      </c>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row>
    <row r="39" s="230" customFormat="1" ht="96" customHeight="1" spans="1:248">
      <c r="A39" s="249" t="s">
        <v>207</v>
      </c>
      <c r="B39" s="58" t="s">
        <v>208</v>
      </c>
      <c r="C39" s="58" t="s">
        <v>24</v>
      </c>
      <c r="D39" s="58" t="s">
        <v>209</v>
      </c>
      <c r="E39" s="71" t="s">
        <v>210</v>
      </c>
      <c r="F39" s="250">
        <v>1101.54</v>
      </c>
      <c r="G39" s="212" t="s">
        <v>60</v>
      </c>
      <c r="H39" s="212" t="s">
        <v>53</v>
      </c>
      <c r="I39" s="212" t="s">
        <v>211</v>
      </c>
      <c r="J39" s="89">
        <v>1101.54</v>
      </c>
      <c r="K39" s="89">
        <v>0</v>
      </c>
      <c r="L39" s="250">
        <f t="shared" si="1"/>
        <v>410</v>
      </c>
      <c r="M39" s="89">
        <v>410</v>
      </c>
      <c r="N39" s="89">
        <v>0</v>
      </c>
      <c r="O39" s="268">
        <v>410</v>
      </c>
      <c r="P39" s="268">
        <v>0</v>
      </c>
      <c r="Q39" s="288"/>
      <c r="R39" s="289" t="s">
        <v>107</v>
      </c>
      <c r="S39" s="111"/>
      <c r="T39" s="281"/>
      <c r="U39" s="280">
        <f t="shared" si="2"/>
        <v>0</v>
      </c>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row>
    <row r="40" s="230" customFormat="1" ht="84" customHeight="1" spans="1:248">
      <c r="A40" s="249" t="s">
        <v>212</v>
      </c>
      <c r="B40" s="254" t="s">
        <v>213</v>
      </c>
      <c r="C40" s="254" t="s">
        <v>24</v>
      </c>
      <c r="D40" s="252" t="s">
        <v>58</v>
      </c>
      <c r="E40" s="255" t="s">
        <v>214</v>
      </c>
      <c r="F40" s="250">
        <v>4023.66</v>
      </c>
      <c r="G40" s="89" t="s">
        <v>68</v>
      </c>
      <c r="H40" s="58" t="s">
        <v>53</v>
      </c>
      <c r="I40" s="89" t="s">
        <v>215</v>
      </c>
      <c r="J40" s="89">
        <v>4023.66</v>
      </c>
      <c r="K40" s="89">
        <v>0</v>
      </c>
      <c r="L40" s="250">
        <f t="shared" si="1"/>
        <v>400</v>
      </c>
      <c r="M40" s="89">
        <v>400</v>
      </c>
      <c r="N40" s="89">
        <v>0</v>
      </c>
      <c r="O40" s="268">
        <v>30</v>
      </c>
      <c r="P40" s="268">
        <v>370</v>
      </c>
      <c r="Q40" s="278"/>
      <c r="R40" s="111" t="s">
        <v>62</v>
      </c>
      <c r="S40" s="111" t="s">
        <v>63</v>
      </c>
      <c r="T40" s="281"/>
      <c r="U40" s="280">
        <f t="shared" si="2"/>
        <v>0</v>
      </c>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row>
    <row r="41" s="230" customFormat="1" ht="60" customHeight="1" spans="1:248">
      <c r="A41" s="249" t="s">
        <v>216</v>
      </c>
      <c r="B41" s="251" t="s">
        <v>217</v>
      </c>
      <c r="C41" s="251" t="s">
        <v>24</v>
      </c>
      <c r="D41" s="252" t="s">
        <v>58</v>
      </c>
      <c r="E41" s="253" t="s">
        <v>218</v>
      </c>
      <c r="F41" s="250">
        <v>2593.06</v>
      </c>
      <c r="G41" s="253" t="s">
        <v>52</v>
      </c>
      <c r="H41" s="251" t="s">
        <v>53</v>
      </c>
      <c r="I41" s="251" t="s">
        <v>219</v>
      </c>
      <c r="J41" s="109">
        <v>2593.06</v>
      </c>
      <c r="K41" s="89">
        <v>0</v>
      </c>
      <c r="L41" s="250">
        <f t="shared" si="1"/>
        <v>400</v>
      </c>
      <c r="M41" s="89">
        <v>400</v>
      </c>
      <c r="N41" s="89">
        <v>0</v>
      </c>
      <c r="O41" s="268">
        <v>50</v>
      </c>
      <c r="P41" s="268">
        <v>350</v>
      </c>
      <c r="Q41" s="278"/>
      <c r="R41" s="111" t="s">
        <v>62</v>
      </c>
      <c r="S41" s="111"/>
      <c r="T41" s="281"/>
      <c r="U41" s="280">
        <f t="shared" si="2"/>
        <v>0</v>
      </c>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row>
    <row r="42" s="230" customFormat="1" ht="89" customHeight="1" spans="1:248">
      <c r="A42" s="249" t="s">
        <v>220</v>
      </c>
      <c r="B42" s="251" t="s">
        <v>221</v>
      </c>
      <c r="C42" s="58" t="s">
        <v>24</v>
      </c>
      <c r="D42" s="252" t="s">
        <v>58</v>
      </c>
      <c r="E42" s="71" t="s">
        <v>222</v>
      </c>
      <c r="F42" s="250">
        <v>3296.96</v>
      </c>
      <c r="G42" s="258" t="s">
        <v>60</v>
      </c>
      <c r="H42" s="58" t="s">
        <v>53</v>
      </c>
      <c r="I42" s="58" t="s">
        <v>223</v>
      </c>
      <c r="J42" s="89">
        <v>3296.96</v>
      </c>
      <c r="K42" s="89">
        <v>0</v>
      </c>
      <c r="L42" s="250">
        <f t="shared" si="1"/>
        <v>400</v>
      </c>
      <c r="M42" s="89">
        <v>400</v>
      </c>
      <c r="N42" s="89">
        <v>0</v>
      </c>
      <c r="O42" s="268">
        <v>400</v>
      </c>
      <c r="P42" s="268">
        <v>0</v>
      </c>
      <c r="Q42" s="278"/>
      <c r="R42" s="111" t="s">
        <v>107</v>
      </c>
      <c r="S42" s="111"/>
      <c r="T42" s="281"/>
      <c r="U42" s="280">
        <f t="shared" si="2"/>
        <v>0</v>
      </c>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row>
    <row r="43" s="230" customFormat="1" ht="54" customHeight="1" spans="1:248">
      <c r="A43" s="249" t="s">
        <v>224</v>
      </c>
      <c r="B43" s="58" t="s">
        <v>225</v>
      </c>
      <c r="C43" s="58" t="s">
        <v>24</v>
      </c>
      <c r="D43" s="252" t="s">
        <v>58</v>
      </c>
      <c r="E43" s="71" t="s">
        <v>226</v>
      </c>
      <c r="F43" s="250">
        <v>1440.34</v>
      </c>
      <c r="G43" s="58" t="s">
        <v>52</v>
      </c>
      <c r="H43" s="58" t="s">
        <v>53</v>
      </c>
      <c r="I43" s="89" t="s">
        <v>227</v>
      </c>
      <c r="J43" s="89">
        <v>1440.34</v>
      </c>
      <c r="K43" s="185">
        <v>0</v>
      </c>
      <c r="L43" s="250">
        <f t="shared" si="1"/>
        <v>400</v>
      </c>
      <c r="M43" s="185">
        <v>400</v>
      </c>
      <c r="N43" s="185">
        <v>0</v>
      </c>
      <c r="O43" s="268">
        <v>400</v>
      </c>
      <c r="P43" s="268">
        <v>0</v>
      </c>
      <c r="Q43" s="278"/>
      <c r="R43" s="111" t="s">
        <v>62</v>
      </c>
      <c r="S43" s="111"/>
      <c r="T43" s="281"/>
      <c r="U43" s="280">
        <f t="shared" si="2"/>
        <v>0</v>
      </c>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row>
    <row r="44" s="230" customFormat="1" ht="43.2" spans="1:248">
      <c r="A44" s="249" t="s">
        <v>228</v>
      </c>
      <c r="B44" s="73" t="s">
        <v>229</v>
      </c>
      <c r="C44" s="58" t="s">
        <v>24</v>
      </c>
      <c r="D44" s="252" t="s">
        <v>58</v>
      </c>
      <c r="E44" s="75" t="s">
        <v>230</v>
      </c>
      <c r="F44" s="250">
        <v>3476.89</v>
      </c>
      <c r="G44" s="89" t="s">
        <v>78</v>
      </c>
      <c r="H44" s="251" t="s">
        <v>53</v>
      </c>
      <c r="I44" s="73" t="s">
        <v>231</v>
      </c>
      <c r="J44" s="109">
        <f>F44</f>
        <v>3476.89</v>
      </c>
      <c r="K44" s="109">
        <v>0</v>
      </c>
      <c r="L44" s="250">
        <f t="shared" si="1"/>
        <v>380</v>
      </c>
      <c r="M44" s="109">
        <f>380</f>
        <v>380</v>
      </c>
      <c r="N44" s="109">
        <v>0</v>
      </c>
      <c r="O44" s="268">
        <v>380</v>
      </c>
      <c r="P44" s="268">
        <v>0</v>
      </c>
      <c r="Q44" s="278"/>
      <c r="R44" s="111" t="s">
        <v>62</v>
      </c>
      <c r="S44" s="111"/>
      <c r="T44" s="281"/>
      <c r="U44" s="280">
        <f t="shared" si="2"/>
        <v>0</v>
      </c>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row>
    <row r="45" s="230" customFormat="1" ht="51" customHeight="1" spans="1:248">
      <c r="A45" s="249" t="s">
        <v>232</v>
      </c>
      <c r="B45" s="251" t="s">
        <v>233</v>
      </c>
      <c r="C45" s="251" t="s">
        <v>24</v>
      </c>
      <c r="D45" s="252" t="s">
        <v>58</v>
      </c>
      <c r="E45" s="253" t="s">
        <v>234</v>
      </c>
      <c r="F45" s="250">
        <v>2490.84</v>
      </c>
      <c r="G45" s="253" t="s">
        <v>147</v>
      </c>
      <c r="H45" s="251" t="s">
        <v>53</v>
      </c>
      <c r="I45" s="251" t="s">
        <v>235</v>
      </c>
      <c r="J45" s="109">
        <v>2490.84</v>
      </c>
      <c r="K45" s="89">
        <v>0</v>
      </c>
      <c r="L45" s="250">
        <f t="shared" si="1"/>
        <v>360</v>
      </c>
      <c r="M45" s="89">
        <v>360</v>
      </c>
      <c r="N45" s="89">
        <v>0</v>
      </c>
      <c r="O45" s="268">
        <v>360</v>
      </c>
      <c r="P45" s="268">
        <v>0</v>
      </c>
      <c r="Q45" s="278"/>
      <c r="R45" s="111" t="s">
        <v>62</v>
      </c>
      <c r="S45" s="111"/>
      <c r="T45" s="281"/>
      <c r="U45" s="280">
        <f t="shared" si="2"/>
        <v>0</v>
      </c>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row>
    <row r="46" s="230" customFormat="1" ht="83" customHeight="1" spans="1:248">
      <c r="A46" s="249" t="s">
        <v>236</v>
      </c>
      <c r="B46" s="58" t="s">
        <v>237</v>
      </c>
      <c r="C46" s="58" t="s">
        <v>24</v>
      </c>
      <c r="D46" s="252" t="s">
        <v>58</v>
      </c>
      <c r="E46" s="71" t="s">
        <v>238</v>
      </c>
      <c r="F46" s="250">
        <v>3192.27</v>
      </c>
      <c r="G46" s="58" t="s">
        <v>60</v>
      </c>
      <c r="H46" s="58" t="s">
        <v>53</v>
      </c>
      <c r="I46" s="89" t="s">
        <v>206</v>
      </c>
      <c r="J46" s="89">
        <v>3192.27</v>
      </c>
      <c r="K46" s="185">
        <v>0</v>
      </c>
      <c r="L46" s="250">
        <f t="shared" si="1"/>
        <v>360</v>
      </c>
      <c r="M46" s="185">
        <v>360</v>
      </c>
      <c r="N46" s="185">
        <v>0</v>
      </c>
      <c r="O46" s="268">
        <v>360</v>
      </c>
      <c r="P46" s="268">
        <v>0</v>
      </c>
      <c r="Q46" s="278"/>
      <c r="R46" s="111" t="s">
        <v>62</v>
      </c>
      <c r="S46" s="111"/>
      <c r="T46" s="281"/>
      <c r="U46" s="280">
        <f t="shared" si="2"/>
        <v>0</v>
      </c>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row>
    <row r="47" s="230" customFormat="1" ht="84" customHeight="1" spans="1:248">
      <c r="A47" s="249" t="s">
        <v>239</v>
      </c>
      <c r="B47" s="73" t="s">
        <v>240</v>
      </c>
      <c r="C47" s="58" t="s">
        <v>24</v>
      </c>
      <c r="D47" s="252" t="s">
        <v>58</v>
      </c>
      <c r="E47" s="75" t="s">
        <v>241</v>
      </c>
      <c r="F47" s="250">
        <v>1209.78</v>
      </c>
      <c r="G47" s="89" t="s">
        <v>242</v>
      </c>
      <c r="H47" s="251" t="s">
        <v>53</v>
      </c>
      <c r="I47" s="73" t="s">
        <v>243</v>
      </c>
      <c r="J47" s="109">
        <f>F47</f>
        <v>1209.78</v>
      </c>
      <c r="K47" s="109">
        <v>0</v>
      </c>
      <c r="L47" s="250">
        <f t="shared" si="1"/>
        <v>355.74</v>
      </c>
      <c r="M47" s="109">
        <f>J47-854.04</f>
        <v>355.74</v>
      </c>
      <c r="N47" s="109">
        <v>0</v>
      </c>
      <c r="O47" s="268">
        <v>355.74</v>
      </c>
      <c r="P47" s="268">
        <v>0</v>
      </c>
      <c r="Q47" s="278"/>
      <c r="R47" s="111" t="s">
        <v>107</v>
      </c>
      <c r="S47" s="111"/>
      <c r="T47" s="281"/>
      <c r="U47" s="280">
        <f t="shared" si="2"/>
        <v>0</v>
      </c>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row>
    <row r="48" s="230" customFormat="1" ht="65" customHeight="1" spans="1:248">
      <c r="A48" s="249" t="s">
        <v>244</v>
      </c>
      <c r="B48" s="57" t="s">
        <v>245</v>
      </c>
      <c r="C48" s="259" t="s">
        <v>24</v>
      </c>
      <c r="D48" s="57" t="s">
        <v>140</v>
      </c>
      <c r="E48" s="59" t="s">
        <v>246</v>
      </c>
      <c r="F48" s="250">
        <v>1458.87</v>
      </c>
      <c r="G48" s="57" t="s">
        <v>185</v>
      </c>
      <c r="H48" s="259" t="s">
        <v>53</v>
      </c>
      <c r="I48" s="57" t="s">
        <v>247</v>
      </c>
      <c r="J48" s="185">
        <v>1458.87</v>
      </c>
      <c r="K48" s="185">
        <v>0</v>
      </c>
      <c r="L48" s="250">
        <f t="shared" si="1"/>
        <v>338</v>
      </c>
      <c r="M48" s="185">
        <v>338</v>
      </c>
      <c r="N48" s="185">
        <v>0</v>
      </c>
      <c r="O48" s="268">
        <v>11</v>
      </c>
      <c r="P48" s="268">
        <v>327</v>
      </c>
      <c r="Q48" s="278"/>
      <c r="R48" s="111" t="s">
        <v>107</v>
      </c>
      <c r="S48" s="111"/>
      <c r="T48" s="281"/>
      <c r="U48" s="280">
        <f t="shared" si="2"/>
        <v>0</v>
      </c>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row>
    <row r="49" s="230" customFormat="1" ht="112" customHeight="1" spans="1:248">
      <c r="A49" s="249" t="s">
        <v>248</v>
      </c>
      <c r="B49" s="58" t="s">
        <v>249</v>
      </c>
      <c r="C49" s="58" t="s">
        <v>24</v>
      </c>
      <c r="D49" s="71" t="s">
        <v>66</v>
      </c>
      <c r="E49" s="71" t="s">
        <v>250</v>
      </c>
      <c r="F49" s="250">
        <v>337.885106</v>
      </c>
      <c r="G49" s="89" t="s">
        <v>251</v>
      </c>
      <c r="H49" s="71" t="s">
        <v>53</v>
      </c>
      <c r="I49" s="269" t="s">
        <v>252</v>
      </c>
      <c r="J49" s="89">
        <v>337.885106</v>
      </c>
      <c r="K49" s="185">
        <v>0</v>
      </c>
      <c r="L49" s="250">
        <f t="shared" si="1"/>
        <v>337.89</v>
      </c>
      <c r="M49" s="185">
        <v>337.89</v>
      </c>
      <c r="N49" s="185">
        <v>0</v>
      </c>
      <c r="O49" s="268">
        <v>337.89</v>
      </c>
      <c r="P49" s="268">
        <v>0</v>
      </c>
      <c r="Q49" s="278"/>
      <c r="R49" s="111" t="s">
        <v>88</v>
      </c>
      <c r="S49" s="111"/>
      <c r="T49" s="281"/>
      <c r="U49" s="280">
        <f t="shared" si="2"/>
        <v>0</v>
      </c>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row>
    <row r="50" s="230" customFormat="1" ht="50" customHeight="1" spans="1:248">
      <c r="A50" s="249" t="s">
        <v>253</v>
      </c>
      <c r="B50" s="58" t="s">
        <v>254</v>
      </c>
      <c r="C50" s="58" t="s">
        <v>24</v>
      </c>
      <c r="D50" s="58" t="s">
        <v>209</v>
      </c>
      <c r="E50" s="71" t="s">
        <v>255</v>
      </c>
      <c r="F50" s="250">
        <v>2341.48</v>
      </c>
      <c r="G50" s="212" t="s">
        <v>60</v>
      </c>
      <c r="H50" s="212" t="s">
        <v>53</v>
      </c>
      <c r="I50" s="212" t="s">
        <v>256</v>
      </c>
      <c r="J50" s="89">
        <v>2341.48</v>
      </c>
      <c r="K50" s="89">
        <v>0</v>
      </c>
      <c r="L50" s="250">
        <f t="shared" si="1"/>
        <v>333.3</v>
      </c>
      <c r="M50" s="89">
        <v>333.3</v>
      </c>
      <c r="N50" s="89">
        <v>0</v>
      </c>
      <c r="O50" s="268">
        <v>333.3</v>
      </c>
      <c r="P50" s="268">
        <v>0</v>
      </c>
      <c r="Q50" s="288"/>
      <c r="R50" s="289" t="s">
        <v>107</v>
      </c>
      <c r="S50" s="111"/>
      <c r="T50" s="281"/>
      <c r="U50" s="280">
        <f t="shared" si="2"/>
        <v>0</v>
      </c>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row>
    <row r="51" s="230" customFormat="1" ht="53" customHeight="1" spans="1:248">
      <c r="A51" s="249" t="s">
        <v>257</v>
      </c>
      <c r="B51" s="251" t="s">
        <v>258</v>
      </c>
      <c r="C51" s="251" t="s">
        <v>24</v>
      </c>
      <c r="D51" s="252" t="s">
        <v>58</v>
      </c>
      <c r="E51" s="253" t="s">
        <v>259</v>
      </c>
      <c r="F51" s="250">
        <v>963.5</v>
      </c>
      <c r="G51" s="253" t="s">
        <v>127</v>
      </c>
      <c r="H51" s="251" t="s">
        <v>53</v>
      </c>
      <c r="I51" s="251" t="s">
        <v>260</v>
      </c>
      <c r="J51" s="89">
        <v>963.5</v>
      </c>
      <c r="K51" s="89">
        <v>0</v>
      </c>
      <c r="L51" s="250">
        <f t="shared" si="1"/>
        <v>320</v>
      </c>
      <c r="M51" s="109">
        <v>320</v>
      </c>
      <c r="N51" s="89">
        <v>0</v>
      </c>
      <c r="O51" s="268">
        <v>0</v>
      </c>
      <c r="P51" s="268">
        <v>320</v>
      </c>
      <c r="Q51" s="278"/>
      <c r="R51" s="111" t="s">
        <v>107</v>
      </c>
      <c r="S51" s="111"/>
      <c r="T51" s="281"/>
      <c r="U51" s="280">
        <f t="shared" si="2"/>
        <v>0</v>
      </c>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row>
    <row r="52" s="230" customFormat="1" ht="93" customHeight="1" spans="1:248">
      <c r="A52" s="249" t="s">
        <v>261</v>
      </c>
      <c r="B52" s="175" t="s">
        <v>262</v>
      </c>
      <c r="C52" s="57" t="s">
        <v>24</v>
      </c>
      <c r="D52" s="57" t="s">
        <v>140</v>
      </c>
      <c r="E52" s="211" t="s">
        <v>263</v>
      </c>
      <c r="F52" s="185">
        <v>5474.9</v>
      </c>
      <c r="G52" s="57" t="s">
        <v>73</v>
      </c>
      <c r="H52" s="57" t="s">
        <v>100</v>
      </c>
      <c r="I52" s="57" t="s">
        <v>264</v>
      </c>
      <c r="J52" s="185">
        <v>5474.9</v>
      </c>
      <c r="K52" s="185">
        <v>0</v>
      </c>
      <c r="L52" s="250">
        <f t="shared" si="1"/>
        <v>311</v>
      </c>
      <c r="M52" s="185">
        <v>311</v>
      </c>
      <c r="N52" s="185">
        <v>0</v>
      </c>
      <c r="O52" s="268">
        <v>41</v>
      </c>
      <c r="P52" s="268">
        <v>270</v>
      </c>
      <c r="Q52" s="284"/>
      <c r="R52" s="57" t="s">
        <v>62</v>
      </c>
      <c r="S52" s="111" t="s">
        <v>63</v>
      </c>
      <c r="T52" s="222"/>
      <c r="U52" s="280">
        <f t="shared" si="2"/>
        <v>0</v>
      </c>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row>
    <row r="53" s="230" customFormat="1" ht="93" customHeight="1" spans="1:248">
      <c r="A53" s="249" t="s">
        <v>265</v>
      </c>
      <c r="B53" s="58" t="s">
        <v>266</v>
      </c>
      <c r="C53" s="58" t="s">
        <v>24</v>
      </c>
      <c r="D53" s="58" t="s">
        <v>209</v>
      </c>
      <c r="E53" s="71" t="s">
        <v>267</v>
      </c>
      <c r="F53" s="250">
        <v>2595.21</v>
      </c>
      <c r="G53" s="212" t="s">
        <v>161</v>
      </c>
      <c r="H53" s="212" t="s">
        <v>53</v>
      </c>
      <c r="I53" s="212" t="s">
        <v>268</v>
      </c>
      <c r="J53" s="89">
        <v>2595.21</v>
      </c>
      <c r="K53" s="89">
        <v>0</v>
      </c>
      <c r="L53" s="250">
        <f t="shared" si="1"/>
        <v>307.24</v>
      </c>
      <c r="M53" s="89">
        <v>307.24</v>
      </c>
      <c r="N53" s="89">
        <v>0</v>
      </c>
      <c r="O53" s="268">
        <v>307.24</v>
      </c>
      <c r="P53" s="268">
        <v>0</v>
      </c>
      <c r="Q53" s="290"/>
      <c r="R53" s="291" t="s">
        <v>95</v>
      </c>
      <c r="S53" s="111"/>
      <c r="T53" s="281"/>
      <c r="U53" s="280">
        <f t="shared" si="2"/>
        <v>0</v>
      </c>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row>
    <row r="54" s="230" customFormat="1" ht="43.2" spans="1:248">
      <c r="A54" s="249" t="s">
        <v>269</v>
      </c>
      <c r="B54" s="251" t="s">
        <v>270</v>
      </c>
      <c r="C54" s="251" t="s">
        <v>24</v>
      </c>
      <c r="D54" s="252" t="s">
        <v>58</v>
      </c>
      <c r="E54" s="253" t="s">
        <v>271</v>
      </c>
      <c r="F54" s="250">
        <v>1622.08</v>
      </c>
      <c r="G54" s="253" t="s">
        <v>242</v>
      </c>
      <c r="H54" s="251" t="s">
        <v>53</v>
      </c>
      <c r="I54" s="251" t="s">
        <v>272</v>
      </c>
      <c r="J54" s="109">
        <v>1622.08</v>
      </c>
      <c r="K54" s="89">
        <v>0</v>
      </c>
      <c r="L54" s="250">
        <f t="shared" si="1"/>
        <v>300</v>
      </c>
      <c r="M54" s="89">
        <v>300</v>
      </c>
      <c r="N54" s="89">
        <v>0</v>
      </c>
      <c r="O54" s="268">
        <v>10</v>
      </c>
      <c r="P54" s="268">
        <v>290</v>
      </c>
      <c r="Q54" s="278"/>
      <c r="R54" s="111" t="s">
        <v>273</v>
      </c>
      <c r="S54" s="111"/>
      <c r="T54" s="281"/>
      <c r="U54" s="280">
        <f t="shared" si="2"/>
        <v>0</v>
      </c>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row>
    <row r="55" s="230" customFormat="1" ht="99" customHeight="1" spans="1:248">
      <c r="A55" s="249" t="s">
        <v>274</v>
      </c>
      <c r="B55" s="251" t="s">
        <v>275</v>
      </c>
      <c r="C55" s="251" t="s">
        <v>24</v>
      </c>
      <c r="D55" s="252" t="s">
        <v>58</v>
      </c>
      <c r="E55" s="253" t="s">
        <v>276</v>
      </c>
      <c r="F55" s="250">
        <v>2749.84</v>
      </c>
      <c r="G55" s="253" t="s">
        <v>117</v>
      </c>
      <c r="H55" s="251" t="s">
        <v>53</v>
      </c>
      <c r="I55" s="251" t="s">
        <v>277</v>
      </c>
      <c r="J55" s="89">
        <v>2749.84</v>
      </c>
      <c r="K55" s="89">
        <v>0</v>
      </c>
      <c r="L55" s="250">
        <f t="shared" si="1"/>
        <v>300</v>
      </c>
      <c r="M55" s="89">
        <v>300</v>
      </c>
      <c r="N55" s="89">
        <v>0</v>
      </c>
      <c r="O55" s="268">
        <v>300</v>
      </c>
      <c r="P55" s="268">
        <v>0</v>
      </c>
      <c r="Q55" s="278"/>
      <c r="R55" s="111" t="s">
        <v>62</v>
      </c>
      <c r="S55" s="111"/>
      <c r="T55" s="281"/>
      <c r="U55" s="280">
        <f t="shared" si="2"/>
        <v>0</v>
      </c>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row>
    <row r="56" s="230" customFormat="1" ht="50" customHeight="1" spans="1:248">
      <c r="A56" s="249" t="s">
        <v>278</v>
      </c>
      <c r="B56" s="73" t="s">
        <v>279</v>
      </c>
      <c r="C56" s="58" t="s">
        <v>24</v>
      </c>
      <c r="D56" s="252" t="s">
        <v>58</v>
      </c>
      <c r="E56" s="253" t="s">
        <v>280</v>
      </c>
      <c r="F56" s="250">
        <v>11217.65</v>
      </c>
      <c r="G56" s="73" t="s">
        <v>60</v>
      </c>
      <c r="H56" s="73" t="s">
        <v>53</v>
      </c>
      <c r="I56" s="73" t="s">
        <v>281</v>
      </c>
      <c r="J56" s="109">
        <v>11217.65</v>
      </c>
      <c r="K56" s="89">
        <v>0</v>
      </c>
      <c r="L56" s="250">
        <f t="shared" si="1"/>
        <v>300</v>
      </c>
      <c r="M56" s="109">
        <v>300</v>
      </c>
      <c r="N56" s="109">
        <v>0</v>
      </c>
      <c r="O56" s="268">
        <v>0</v>
      </c>
      <c r="P56" s="268">
        <v>300</v>
      </c>
      <c r="Q56" s="278"/>
      <c r="R56" s="111" t="s">
        <v>62</v>
      </c>
      <c r="S56" s="111"/>
      <c r="T56" s="281"/>
      <c r="U56" s="280">
        <f t="shared" si="2"/>
        <v>0</v>
      </c>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row>
    <row r="57" s="230" customFormat="1" ht="82" customHeight="1" spans="1:248">
      <c r="A57" s="249" t="s">
        <v>282</v>
      </c>
      <c r="B57" s="58" t="s">
        <v>283</v>
      </c>
      <c r="C57" s="58" t="s">
        <v>24</v>
      </c>
      <c r="D57" s="252" t="s">
        <v>58</v>
      </c>
      <c r="E57" s="75" t="s">
        <v>284</v>
      </c>
      <c r="F57" s="250">
        <v>2534.49</v>
      </c>
      <c r="G57" s="73" t="s">
        <v>112</v>
      </c>
      <c r="H57" s="251" t="s">
        <v>53</v>
      </c>
      <c r="I57" s="73" t="s">
        <v>285</v>
      </c>
      <c r="J57" s="109">
        <f>F57</f>
        <v>2534.49</v>
      </c>
      <c r="K57" s="109">
        <v>0</v>
      </c>
      <c r="L57" s="250">
        <f t="shared" si="1"/>
        <v>300</v>
      </c>
      <c r="M57" s="109">
        <v>300</v>
      </c>
      <c r="N57" s="109">
        <v>0</v>
      </c>
      <c r="O57" s="268">
        <v>0</v>
      </c>
      <c r="P57" s="268">
        <v>300</v>
      </c>
      <c r="Q57" s="278"/>
      <c r="R57" s="111" t="s">
        <v>95</v>
      </c>
      <c r="S57" s="111"/>
      <c r="T57" s="281"/>
      <c r="U57" s="280">
        <f t="shared" si="2"/>
        <v>0</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row>
    <row r="58" s="230" customFormat="1" ht="81" customHeight="1" spans="1:248">
      <c r="A58" s="249" t="s">
        <v>286</v>
      </c>
      <c r="B58" s="58" t="s">
        <v>287</v>
      </c>
      <c r="C58" s="254" t="s">
        <v>24</v>
      </c>
      <c r="D58" s="252" t="s">
        <v>58</v>
      </c>
      <c r="E58" s="71" t="s">
        <v>288</v>
      </c>
      <c r="F58" s="250">
        <v>5402.5</v>
      </c>
      <c r="G58" s="58" t="s">
        <v>136</v>
      </c>
      <c r="H58" s="58" t="s">
        <v>53</v>
      </c>
      <c r="I58" s="89" t="s">
        <v>289</v>
      </c>
      <c r="J58" s="89">
        <v>5402.5</v>
      </c>
      <c r="K58" s="185">
        <v>0</v>
      </c>
      <c r="L58" s="250">
        <f t="shared" si="1"/>
        <v>300</v>
      </c>
      <c r="M58" s="185">
        <v>300</v>
      </c>
      <c r="N58" s="185">
        <v>0</v>
      </c>
      <c r="O58" s="268">
        <v>300</v>
      </c>
      <c r="P58" s="268">
        <v>0</v>
      </c>
      <c r="Q58" s="278"/>
      <c r="R58" s="111" t="s">
        <v>62</v>
      </c>
      <c r="S58" s="111" t="s">
        <v>63</v>
      </c>
      <c r="T58" s="281"/>
      <c r="U58" s="280">
        <f t="shared" si="2"/>
        <v>0</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row>
    <row r="59" s="230" customFormat="1" ht="43.2" spans="1:248">
      <c r="A59" s="249" t="s">
        <v>290</v>
      </c>
      <c r="B59" s="73" t="s">
        <v>291</v>
      </c>
      <c r="C59" s="73" t="s">
        <v>24</v>
      </c>
      <c r="D59" s="252" t="s">
        <v>58</v>
      </c>
      <c r="E59" s="75" t="s">
        <v>292</v>
      </c>
      <c r="F59" s="250">
        <v>2782.59</v>
      </c>
      <c r="G59" s="58" t="s">
        <v>117</v>
      </c>
      <c r="H59" s="58" t="s">
        <v>53</v>
      </c>
      <c r="I59" s="73" t="s">
        <v>293</v>
      </c>
      <c r="J59" s="185">
        <v>2782.59</v>
      </c>
      <c r="K59" s="185">
        <v>0</v>
      </c>
      <c r="L59" s="250">
        <f t="shared" si="1"/>
        <v>273</v>
      </c>
      <c r="M59" s="185">
        <v>273</v>
      </c>
      <c r="N59" s="185">
        <v>0</v>
      </c>
      <c r="O59" s="268">
        <v>0</v>
      </c>
      <c r="P59" s="268">
        <v>273</v>
      </c>
      <c r="Q59" s="278"/>
      <c r="R59" s="111" t="s">
        <v>62</v>
      </c>
      <c r="S59" s="111"/>
      <c r="T59" s="281"/>
      <c r="U59" s="280">
        <f t="shared" si="2"/>
        <v>0</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row>
    <row r="60" s="230" customFormat="1" ht="57.6" spans="1:248">
      <c r="A60" s="249" t="s">
        <v>294</v>
      </c>
      <c r="B60" s="62" t="s">
        <v>295</v>
      </c>
      <c r="C60" s="62" t="s">
        <v>24</v>
      </c>
      <c r="D60" s="62" t="s">
        <v>183</v>
      </c>
      <c r="E60" s="63" t="s">
        <v>296</v>
      </c>
      <c r="F60" s="250">
        <v>4416.78</v>
      </c>
      <c r="G60" s="62" t="s">
        <v>156</v>
      </c>
      <c r="H60" s="62" t="s">
        <v>53</v>
      </c>
      <c r="I60" s="62" t="s">
        <v>297</v>
      </c>
      <c r="J60" s="89">
        <v>4416.78</v>
      </c>
      <c r="K60" s="89">
        <v>0</v>
      </c>
      <c r="L60" s="250">
        <f t="shared" si="1"/>
        <v>270</v>
      </c>
      <c r="M60" s="89">
        <v>270</v>
      </c>
      <c r="N60" s="185">
        <v>0</v>
      </c>
      <c r="O60" s="268">
        <v>270</v>
      </c>
      <c r="P60" s="268">
        <v>0</v>
      </c>
      <c r="Q60" s="278"/>
      <c r="R60" s="111" t="s">
        <v>62</v>
      </c>
      <c r="S60" s="111" t="s">
        <v>63</v>
      </c>
      <c r="T60" s="281"/>
      <c r="U60" s="280">
        <f t="shared" si="2"/>
        <v>0</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row>
    <row r="61" s="230" customFormat="1" ht="70" customHeight="1" spans="1:248">
      <c r="A61" s="249" t="s">
        <v>298</v>
      </c>
      <c r="B61" s="58" t="s">
        <v>299</v>
      </c>
      <c r="C61" s="58" t="s">
        <v>24</v>
      </c>
      <c r="D61" s="252" t="s">
        <v>58</v>
      </c>
      <c r="E61" s="71" t="s">
        <v>300</v>
      </c>
      <c r="F61" s="250">
        <v>1667.9</v>
      </c>
      <c r="G61" s="58" t="s">
        <v>60</v>
      </c>
      <c r="H61" s="58" t="s">
        <v>53</v>
      </c>
      <c r="I61" s="89" t="s">
        <v>301</v>
      </c>
      <c r="J61" s="89">
        <v>1667.9</v>
      </c>
      <c r="K61" s="185">
        <v>0</v>
      </c>
      <c r="L61" s="250">
        <f t="shared" si="1"/>
        <v>260</v>
      </c>
      <c r="M61" s="185">
        <v>260</v>
      </c>
      <c r="N61" s="185">
        <v>0</v>
      </c>
      <c r="O61" s="268">
        <v>260</v>
      </c>
      <c r="P61" s="268">
        <v>0</v>
      </c>
      <c r="Q61" s="278"/>
      <c r="R61" s="111" t="s">
        <v>62</v>
      </c>
      <c r="S61" s="111"/>
      <c r="T61" s="281"/>
      <c r="U61" s="280">
        <f t="shared" si="2"/>
        <v>0</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row>
    <row r="62" s="230" customFormat="1" ht="142" customHeight="1" spans="1:248">
      <c r="A62" s="249" t="s">
        <v>302</v>
      </c>
      <c r="B62" s="73" t="s">
        <v>303</v>
      </c>
      <c r="C62" s="73" t="s">
        <v>24</v>
      </c>
      <c r="D62" s="73" t="s">
        <v>304</v>
      </c>
      <c r="E62" s="75" t="s">
        <v>305</v>
      </c>
      <c r="F62" s="250">
        <v>2439.5</v>
      </c>
      <c r="G62" s="73" t="s">
        <v>156</v>
      </c>
      <c r="H62" s="73" t="s">
        <v>53</v>
      </c>
      <c r="I62" s="73" t="s">
        <v>306</v>
      </c>
      <c r="J62" s="185">
        <v>2439.5</v>
      </c>
      <c r="K62" s="185">
        <v>0</v>
      </c>
      <c r="L62" s="250">
        <v>460</v>
      </c>
      <c r="M62" s="185">
        <v>460</v>
      </c>
      <c r="N62" s="185">
        <v>0</v>
      </c>
      <c r="O62" s="268">
        <v>460</v>
      </c>
      <c r="P62" s="268">
        <v>0</v>
      </c>
      <c r="Q62" s="278"/>
      <c r="R62" s="111" t="s">
        <v>107</v>
      </c>
      <c r="S62" s="111" t="s">
        <v>63</v>
      </c>
      <c r="T62" s="281"/>
      <c r="U62" s="280">
        <f t="shared" si="2"/>
        <v>0</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row>
    <row r="63" s="230" customFormat="1" ht="94" customHeight="1" spans="1:248">
      <c r="A63" s="249" t="s">
        <v>307</v>
      </c>
      <c r="B63" s="58" t="s">
        <v>308</v>
      </c>
      <c r="C63" s="58" t="s">
        <v>24</v>
      </c>
      <c r="D63" s="71" t="s">
        <v>66</v>
      </c>
      <c r="E63" s="71" t="s">
        <v>309</v>
      </c>
      <c r="F63" s="250">
        <v>600</v>
      </c>
      <c r="G63" s="89" t="s">
        <v>156</v>
      </c>
      <c r="H63" s="71" t="s">
        <v>53</v>
      </c>
      <c r="I63" s="89" t="s">
        <v>310</v>
      </c>
      <c r="J63" s="185">
        <v>600</v>
      </c>
      <c r="K63" s="185">
        <v>0</v>
      </c>
      <c r="L63" s="250">
        <f t="shared" si="1"/>
        <v>250</v>
      </c>
      <c r="M63" s="185">
        <v>250</v>
      </c>
      <c r="N63" s="185">
        <v>0</v>
      </c>
      <c r="O63" s="268">
        <v>30</v>
      </c>
      <c r="P63" s="268">
        <v>220</v>
      </c>
      <c r="Q63" s="278"/>
      <c r="R63" s="111" t="s">
        <v>88</v>
      </c>
      <c r="S63" s="111"/>
      <c r="T63" s="281"/>
      <c r="U63" s="280">
        <f t="shared" si="2"/>
        <v>0</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row>
    <row r="64" s="230" customFormat="1" ht="53" customHeight="1" spans="1:248">
      <c r="A64" s="249" t="s">
        <v>311</v>
      </c>
      <c r="B64" s="58" t="s">
        <v>312</v>
      </c>
      <c r="C64" s="58" t="s">
        <v>24</v>
      </c>
      <c r="D64" s="71" t="s">
        <v>66</v>
      </c>
      <c r="E64" s="71" t="s">
        <v>313</v>
      </c>
      <c r="F64" s="250">
        <v>6918.7</v>
      </c>
      <c r="G64" s="89" t="s">
        <v>314</v>
      </c>
      <c r="H64" s="71" t="s">
        <v>53</v>
      </c>
      <c r="I64" s="269" t="s">
        <v>315</v>
      </c>
      <c r="J64" s="89">
        <v>6918.7</v>
      </c>
      <c r="K64" s="185">
        <v>0</v>
      </c>
      <c r="L64" s="250">
        <f t="shared" si="1"/>
        <v>242.76</v>
      </c>
      <c r="M64" s="89">
        <f>203.76+39</f>
        <v>242.76</v>
      </c>
      <c r="N64" s="185">
        <v>0</v>
      </c>
      <c r="O64" s="268">
        <v>242.76</v>
      </c>
      <c r="P64" s="268">
        <v>0</v>
      </c>
      <c r="Q64" s="278"/>
      <c r="R64" s="111" t="s">
        <v>62</v>
      </c>
      <c r="S64" s="111"/>
      <c r="T64" s="281"/>
      <c r="U64" s="280">
        <f t="shared" si="2"/>
        <v>0</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row>
    <row r="65" s="230" customFormat="1" ht="81" customHeight="1" spans="1:248">
      <c r="A65" s="249" t="s">
        <v>316</v>
      </c>
      <c r="B65" s="251" t="s">
        <v>317</v>
      </c>
      <c r="C65" s="251" t="s">
        <v>24</v>
      </c>
      <c r="D65" s="252" t="s">
        <v>58</v>
      </c>
      <c r="E65" s="253" t="s">
        <v>318</v>
      </c>
      <c r="F65" s="250">
        <v>1106.27</v>
      </c>
      <c r="G65" s="253" t="s">
        <v>117</v>
      </c>
      <c r="H65" s="251" t="s">
        <v>53</v>
      </c>
      <c r="I65" s="251" t="s">
        <v>319</v>
      </c>
      <c r="J65" s="89">
        <v>1106.27</v>
      </c>
      <c r="K65" s="89">
        <v>0</v>
      </c>
      <c r="L65" s="250">
        <f t="shared" si="1"/>
        <v>240</v>
      </c>
      <c r="M65" s="89">
        <v>240</v>
      </c>
      <c r="N65" s="89">
        <v>0</v>
      </c>
      <c r="O65" s="268">
        <v>50</v>
      </c>
      <c r="P65" s="268">
        <v>190</v>
      </c>
      <c r="Q65" s="278"/>
      <c r="R65" s="111" t="s">
        <v>62</v>
      </c>
      <c r="S65" s="111"/>
      <c r="T65" s="281"/>
      <c r="U65" s="280">
        <f t="shared" si="2"/>
        <v>0</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row>
    <row r="66" s="230" customFormat="1" ht="111" customHeight="1" spans="1:248">
      <c r="A66" s="249" t="s">
        <v>320</v>
      </c>
      <c r="B66" s="73" t="s">
        <v>321</v>
      </c>
      <c r="C66" s="73" t="s">
        <v>24</v>
      </c>
      <c r="D66" s="73" t="s">
        <v>304</v>
      </c>
      <c r="E66" s="75" t="s">
        <v>322</v>
      </c>
      <c r="F66" s="250">
        <v>2138.83</v>
      </c>
      <c r="G66" s="73" t="s">
        <v>156</v>
      </c>
      <c r="H66" s="73" t="s">
        <v>53</v>
      </c>
      <c r="I66" s="73" t="s">
        <v>323</v>
      </c>
      <c r="J66" s="185">
        <v>2138.83</v>
      </c>
      <c r="K66" s="185">
        <v>0</v>
      </c>
      <c r="L66" s="250">
        <v>430</v>
      </c>
      <c r="M66" s="185">
        <v>430</v>
      </c>
      <c r="N66" s="185">
        <v>0</v>
      </c>
      <c r="O66" s="268">
        <v>430</v>
      </c>
      <c r="P66" s="268">
        <v>0</v>
      </c>
      <c r="Q66" s="278"/>
      <c r="R66" s="111" t="s">
        <v>62</v>
      </c>
      <c r="S66" s="111" t="s">
        <v>63</v>
      </c>
      <c r="T66" s="281"/>
      <c r="U66" s="280">
        <f t="shared" si="2"/>
        <v>0</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row>
    <row r="67" s="230" customFormat="1" ht="100" customHeight="1" spans="1:248">
      <c r="A67" s="249" t="s">
        <v>324</v>
      </c>
      <c r="B67" s="58" t="s">
        <v>325</v>
      </c>
      <c r="C67" s="73" t="s">
        <v>24</v>
      </c>
      <c r="D67" s="252" t="s">
        <v>304</v>
      </c>
      <c r="E67" s="75" t="s">
        <v>326</v>
      </c>
      <c r="F67" s="250">
        <v>16999.59</v>
      </c>
      <c r="G67" s="89" t="s">
        <v>99</v>
      </c>
      <c r="H67" s="251" t="s">
        <v>53</v>
      </c>
      <c r="I67" s="73" t="s">
        <v>327</v>
      </c>
      <c r="J67" s="109">
        <v>16999.59</v>
      </c>
      <c r="K67" s="109">
        <v>0</v>
      </c>
      <c r="L67" s="250">
        <v>2000</v>
      </c>
      <c r="M67" s="109">
        <v>2000</v>
      </c>
      <c r="N67" s="109">
        <v>0</v>
      </c>
      <c r="O67" s="268">
        <v>1000</v>
      </c>
      <c r="P67" s="268">
        <v>1000</v>
      </c>
      <c r="Q67" s="278"/>
      <c r="R67" s="111" t="s">
        <v>88</v>
      </c>
      <c r="S67" s="111" t="s">
        <v>63</v>
      </c>
      <c r="T67" s="281"/>
      <c r="U67" s="280">
        <f t="shared" si="2"/>
        <v>0</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row>
    <row r="68" s="230" customFormat="1" ht="96" customHeight="1" spans="1:248">
      <c r="A68" s="249" t="s">
        <v>328</v>
      </c>
      <c r="B68" s="58" t="s">
        <v>329</v>
      </c>
      <c r="C68" s="73" t="s">
        <v>24</v>
      </c>
      <c r="D68" s="252" t="s">
        <v>58</v>
      </c>
      <c r="E68" s="75" t="s">
        <v>330</v>
      </c>
      <c r="F68" s="250">
        <v>887.87</v>
      </c>
      <c r="G68" s="89" t="s">
        <v>185</v>
      </c>
      <c r="H68" s="251" t="s">
        <v>53</v>
      </c>
      <c r="I68" s="73" t="s">
        <v>331</v>
      </c>
      <c r="J68" s="109">
        <v>887.87</v>
      </c>
      <c r="K68" s="109">
        <v>0</v>
      </c>
      <c r="L68" s="250">
        <f>M68+N68</f>
        <v>230</v>
      </c>
      <c r="M68" s="109">
        <v>230</v>
      </c>
      <c r="N68" s="109">
        <v>0</v>
      </c>
      <c r="O68" s="268">
        <v>230</v>
      </c>
      <c r="P68" s="268">
        <v>0</v>
      </c>
      <c r="Q68" s="278"/>
      <c r="R68" s="111" t="s">
        <v>107</v>
      </c>
      <c r="S68" s="111" t="s">
        <v>63</v>
      </c>
      <c r="T68" s="281"/>
      <c r="U68" s="280">
        <f t="shared" si="2"/>
        <v>0</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row>
    <row r="69" s="230" customFormat="1" ht="50" customHeight="1" spans="1:248">
      <c r="A69" s="249" t="s">
        <v>332</v>
      </c>
      <c r="B69" s="251" t="s">
        <v>333</v>
      </c>
      <c r="C69" s="58" t="s">
        <v>24</v>
      </c>
      <c r="D69" s="252" t="s">
        <v>58</v>
      </c>
      <c r="E69" s="71" t="s">
        <v>334</v>
      </c>
      <c r="F69" s="250">
        <v>950.41</v>
      </c>
      <c r="G69" s="258" t="s">
        <v>161</v>
      </c>
      <c r="H69" s="58" t="s">
        <v>53</v>
      </c>
      <c r="I69" s="58" t="s">
        <v>335</v>
      </c>
      <c r="J69" s="89">
        <v>950.41</v>
      </c>
      <c r="K69" s="89">
        <v>0</v>
      </c>
      <c r="L69" s="250">
        <f>M69+N69</f>
        <v>230</v>
      </c>
      <c r="M69" s="89">
        <v>230</v>
      </c>
      <c r="N69" s="89">
        <v>0</v>
      </c>
      <c r="O69" s="268">
        <v>180</v>
      </c>
      <c r="P69" s="268">
        <v>50</v>
      </c>
      <c r="Q69" s="278"/>
      <c r="R69" s="111" t="s">
        <v>62</v>
      </c>
      <c r="S69" s="111"/>
      <c r="T69" s="281"/>
      <c r="U69" s="280">
        <f t="shared" si="2"/>
        <v>0</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row>
    <row r="70" s="230" customFormat="1" ht="43.2" spans="1:248">
      <c r="A70" s="249" t="s">
        <v>336</v>
      </c>
      <c r="B70" s="251" t="s">
        <v>337</v>
      </c>
      <c r="C70" s="251" t="s">
        <v>24</v>
      </c>
      <c r="D70" s="252" t="s">
        <v>58</v>
      </c>
      <c r="E70" s="253" t="s">
        <v>338</v>
      </c>
      <c r="F70" s="250">
        <v>1653.15</v>
      </c>
      <c r="G70" s="253" t="s">
        <v>117</v>
      </c>
      <c r="H70" s="251" t="s">
        <v>53</v>
      </c>
      <c r="I70" s="251" t="s">
        <v>339</v>
      </c>
      <c r="J70" s="89">
        <v>1653.15</v>
      </c>
      <c r="K70" s="89">
        <v>0</v>
      </c>
      <c r="L70" s="250">
        <f>M70+N70</f>
        <v>220</v>
      </c>
      <c r="M70" s="89">
        <v>220</v>
      </c>
      <c r="N70" s="89">
        <v>0</v>
      </c>
      <c r="O70" s="268">
        <v>20</v>
      </c>
      <c r="P70" s="268">
        <v>200</v>
      </c>
      <c r="Q70" s="278"/>
      <c r="R70" s="111" t="s">
        <v>88</v>
      </c>
      <c r="S70" s="111"/>
      <c r="T70" s="281"/>
      <c r="U70" s="280">
        <f t="shared" si="2"/>
        <v>0</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row>
    <row r="71" s="230" customFormat="1" ht="49" customHeight="1" spans="1:248">
      <c r="A71" s="249" t="s">
        <v>340</v>
      </c>
      <c r="B71" s="57" t="s">
        <v>341</v>
      </c>
      <c r="C71" s="61" t="s">
        <v>24</v>
      </c>
      <c r="D71" s="57" t="s">
        <v>140</v>
      </c>
      <c r="E71" s="59" t="s">
        <v>342</v>
      </c>
      <c r="F71" s="250">
        <v>996.12</v>
      </c>
      <c r="G71" s="57" t="s">
        <v>185</v>
      </c>
      <c r="H71" s="61" t="s">
        <v>53</v>
      </c>
      <c r="I71" s="57" t="s">
        <v>343</v>
      </c>
      <c r="J71" s="185">
        <v>996.12</v>
      </c>
      <c r="K71" s="185">
        <v>0</v>
      </c>
      <c r="L71" s="250">
        <f>M71+N71</f>
        <v>203</v>
      </c>
      <c r="M71" s="185">
        <v>203</v>
      </c>
      <c r="N71" s="185">
        <v>0</v>
      </c>
      <c r="O71" s="268">
        <v>203</v>
      </c>
      <c r="P71" s="268">
        <v>0</v>
      </c>
      <c r="Q71" s="278"/>
      <c r="R71" s="111" t="s">
        <v>107</v>
      </c>
      <c r="S71" s="111" t="s">
        <v>63</v>
      </c>
      <c r="T71" s="281"/>
      <c r="U71" s="280">
        <f t="shared" si="2"/>
        <v>0</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row>
    <row r="72" s="230" customFormat="1" ht="43.2" spans="1:248">
      <c r="A72" s="249" t="s">
        <v>344</v>
      </c>
      <c r="B72" s="251" t="s">
        <v>345</v>
      </c>
      <c r="C72" s="251" t="s">
        <v>24</v>
      </c>
      <c r="D72" s="252" t="s">
        <v>58</v>
      </c>
      <c r="E72" s="253" t="s">
        <v>346</v>
      </c>
      <c r="F72" s="250">
        <v>2091.83</v>
      </c>
      <c r="G72" s="253" t="s">
        <v>347</v>
      </c>
      <c r="H72" s="251" t="s">
        <v>53</v>
      </c>
      <c r="I72" s="251" t="s">
        <v>348</v>
      </c>
      <c r="J72" s="89">
        <v>2091.83</v>
      </c>
      <c r="K72" s="89">
        <v>0</v>
      </c>
      <c r="L72" s="250">
        <f>M72+N72</f>
        <v>200</v>
      </c>
      <c r="M72" s="89">
        <v>200</v>
      </c>
      <c r="N72" s="89">
        <v>0</v>
      </c>
      <c r="O72" s="268">
        <v>20</v>
      </c>
      <c r="P72" s="268">
        <v>180</v>
      </c>
      <c r="Q72" s="278"/>
      <c r="R72" s="111" t="s">
        <v>88</v>
      </c>
      <c r="S72" s="111"/>
      <c r="T72" s="281"/>
      <c r="U72" s="280">
        <f t="shared" si="2"/>
        <v>0</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c r="ID72" s="28"/>
      <c r="IE72" s="28"/>
      <c r="IF72" s="28"/>
      <c r="IG72" s="28"/>
      <c r="IH72" s="28"/>
      <c r="II72" s="28"/>
      <c r="IJ72" s="28"/>
      <c r="IK72" s="28"/>
      <c r="IL72" s="28"/>
      <c r="IM72" s="28"/>
      <c r="IN72" s="28"/>
    </row>
    <row r="73" s="230" customFormat="1" ht="43.2" spans="1:248">
      <c r="A73" s="249" t="s">
        <v>349</v>
      </c>
      <c r="B73" s="251" t="s">
        <v>350</v>
      </c>
      <c r="C73" s="251" t="s">
        <v>24</v>
      </c>
      <c r="D73" s="252" t="s">
        <v>58</v>
      </c>
      <c r="E73" s="253" t="s">
        <v>351</v>
      </c>
      <c r="F73" s="250">
        <v>1140.82</v>
      </c>
      <c r="G73" s="253" t="s">
        <v>117</v>
      </c>
      <c r="H73" s="251" t="s">
        <v>53</v>
      </c>
      <c r="I73" s="251" t="s">
        <v>352</v>
      </c>
      <c r="J73" s="89">
        <v>1140.82</v>
      </c>
      <c r="K73" s="89">
        <v>0</v>
      </c>
      <c r="L73" s="250">
        <f t="shared" ref="L73:L136" si="3">M73+N73</f>
        <v>200</v>
      </c>
      <c r="M73" s="89">
        <v>200</v>
      </c>
      <c r="N73" s="89">
        <v>0</v>
      </c>
      <c r="O73" s="268">
        <v>0</v>
      </c>
      <c r="P73" s="268">
        <v>200</v>
      </c>
      <c r="Q73" s="278"/>
      <c r="R73" s="111" t="s">
        <v>62</v>
      </c>
      <c r="S73" s="111"/>
      <c r="T73" s="281"/>
      <c r="U73" s="280">
        <f t="shared" ref="U73:U136" si="4">O73+P73-L73</f>
        <v>0</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c r="HM73" s="28"/>
      <c r="HN73" s="28"/>
      <c r="HO73" s="28"/>
      <c r="HP73" s="28"/>
      <c r="HQ73" s="28"/>
      <c r="HR73" s="28"/>
      <c r="HS73" s="28"/>
      <c r="HT73" s="28"/>
      <c r="HU73" s="28"/>
      <c r="HV73" s="28"/>
      <c r="HW73" s="28"/>
      <c r="HX73" s="28"/>
      <c r="HY73" s="28"/>
      <c r="HZ73" s="28"/>
      <c r="IA73" s="28"/>
      <c r="IB73" s="28"/>
      <c r="IC73" s="28"/>
      <c r="ID73" s="28"/>
      <c r="IE73" s="28"/>
      <c r="IF73" s="28"/>
      <c r="IG73" s="28"/>
      <c r="IH73" s="28"/>
      <c r="II73" s="28"/>
      <c r="IJ73" s="28"/>
      <c r="IK73" s="28"/>
      <c r="IL73" s="28"/>
      <c r="IM73" s="28"/>
      <c r="IN73" s="28"/>
    </row>
    <row r="74" s="230" customFormat="1" ht="54" customHeight="1" spans="1:248">
      <c r="A74" s="249" t="s">
        <v>353</v>
      </c>
      <c r="B74" s="251" t="s">
        <v>354</v>
      </c>
      <c r="C74" s="58" t="s">
        <v>24</v>
      </c>
      <c r="D74" s="252" t="s">
        <v>58</v>
      </c>
      <c r="E74" s="71" t="s">
        <v>355</v>
      </c>
      <c r="F74" s="250">
        <v>2120</v>
      </c>
      <c r="G74" s="58" t="s">
        <v>185</v>
      </c>
      <c r="H74" s="58" t="s">
        <v>53</v>
      </c>
      <c r="I74" s="58" t="s">
        <v>356</v>
      </c>
      <c r="J74" s="89">
        <v>2120</v>
      </c>
      <c r="K74" s="185">
        <v>0</v>
      </c>
      <c r="L74" s="250">
        <f t="shared" si="3"/>
        <v>200</v>
      </c>
      <c r="M74" s="89">
        <v>200</v>
      </c>
      <c r="N74" s="89">
        <v>0</v>
      </c>
      <c r="O74" s="268">
        <v>200</v>
      </c>
      <c r="P74" s="268">
        <v>0</v>
      </c>
      <c r="Q74" s="278"/>
      <c r="R74" s="111" t="s">
        <v>62</v>
      </c>
      <c r="S74" s="111" t="s">
        <v>63</v>
      </c>
      <c r="T74" s="281"/>
      <c r="U74" s="280">
        <f t="shared" si="4"/>
        <v>0</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row>
    <row r="75" s="230" customFormat="1" ht="81" customHeight="1" spans="1:248">
      <c r="A75" s="249" t="s">
        <v>357</v>
      </c>
      <c r="B75" s="58" t="s">
        <v>358</v>
      </c>
      <c r="C75" s="58" t="s">
        <v>24</v>
      </c>
      <c r="D75" s="252" t="s">
        <v>58</v>
      </c>
      <c r="E75" s="71" t="s">
        <v>359</v>
      </c>
      <c r="F75" s="250">
        <v>2574.83</v>
      </c>
      <c r="G75" s="58" t="s">
        <v>161</v>
      </c>
      <c r="H75" s="58" t="s">
        <v>53</v>
      </c>
      <c r="I75" s="73" t="s">
        <v>360</v>
      </c>
      <c r="J75" s="89">
        <v>2574.83</v>
      </c>
      <c r="K75" s="185">
        <v>0</v>
      </c>
      <c r="L75" s="250">
        <f t="shared" si="3"/>
        <v>200</v>
      </c>
      <c r="M75" s="185">
        <v>200</v>
      </c>
      <c r="N75" s="185">
        <v>0</v>
      </c>
      <c r="O75" s="268">
        <v>0</v>
      </c>
      <c r="P75" s="268">
        <v>200</v>
      </c>
      <c r="Q75" s="278"/>
      <c r="R75" s="111" t="s">
        <v>62</v>
      </c>
      <c r="S75" s="111"/>
      <c r="T75" s="281"/>
      <c r="U75" s="280">
        <f t="shared" si="4"/>
        <v>0</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row>
    <row r="76" s="230" customFormat="1" ht="115" customHeight="1" spans="1:248">
      <c r="A76" s="249" t="s">
        <v>361</v>
      </c>
      <c r="B76" s="72" t="s">
        <v>362</v>
      </c>
      <c r="C76" s="57" t="s">
        <v>24</v>
      </c>
      <c r="D76" s="72" t="s">
        <v>183</v>
      </c>
      <c r="E76" s="201" t="s">
        <v>363</v>
      </c>
      <c r="F76" s="60">
        <v>2100</v>
      </c>
      <c r="G76" s="72" t="s">
        <v>364</v>
      </c>
      <c r="H76" s="65" t="s">
        <v>100</v>
      </c>
      <c r="I76" s="72" t="s">
        <v>365</v>
      </c>
      <c r="J76" s="60">
        <v>2100</v>
      </c>
      <c r="K76" s="60">
        <v>0</v>
      </c>
      <c r="L76" s="250">
        <f t="shared" si="3"/>
        <v>200</v>
      </c>
      <c r="M76" s="60">
        <v>200</v>
      </c>
      <c r="N76" s="185">
        <v>0</v>
      </c>
      <c r="O76" s="268">
        <v>200</v>
      </c>
      <c r="P76" s="268">
        <v>0</v>
      </c>
      <c r="Q76" s="284"/>
      <c r="R76" s="111" t="s">
        <v>62</v>
      </c>
      <c r="S76" s="111" t="s">
        <v>63</v>
      </c>
      <c r="T76" s="222"/>
      <c r="U76" s="280">
        <f t="shared" si="4"/>
        <v>0</v>
      </c>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row>
    <row r="77" s="230" customFormat="1" ht="124" customHeight="1" spans="1:248">
      <c r="A77" s="249" t="s">
        <v>366</v>
      </c>
      <c r="B77" s="58" t="s">
        <v>367</v>
      </c>
      <c r="C77" s="58" t="s">
        <v>24</v>
      </c>
      <c r="D77" s="252" t="s">
        <v>110</v>
      </c>
      <c r="E77" s="71" t="s">
        <v>368</v>
      </c>
      <c r="F77" s="250">
        <v>2895</v>
      </c>
      <c r="G77" s="58" t="s">
        <v>156</v>
      </c>
      <c r="H77" s="58" t="s">
        <v>53</v>
      </c>
      <c r="I77" s="58" t="s">
        <v>369</v>
      </c>
      <c r="J77" s="89">
        <v>2895</v>
      </c>
      <c r="K77" s="89">
        <v>0</v>
      </c>
      <c r="L77" s="250">
        <f t="shared" si="3"/>
        <v>200</v>
      </c>
      <c r="M77" s="89">
        <v>200</v>
      </c>
      <c r="N77" s="89">
        <v>0</v>
      </c>
      <c r="O77" s="268">
        <v>200</v>
      </c>
      <c r="P77" s="268">
        <v>0</v>
      </c>
      <c r="Q77" s="285"/>
      <c r="R77" s="111" t="s">
        <v>62</v>
      </c>
      <c r="S77" s="111" t="s">
        <v>63</v>
      </c>
      <c r="T77" s="239"/>
      <c r="U77" s="280">
        <f t="shared" si="4"/>
        <v>0</v>
      </c>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row>
    <row r="78" s="230" customFormat="1" ht="66" customHeight="1" spans="1:248">
      <c r="A78" s="249" t="s">
        <v>370</v>
      </c>
      <c r="B78" s="58" t="s">
        <v>371</v>
      </c>
      <c r="C78" s="58" t="s">
        <v>24</v>
      </c>
      <c r="D78" s="58" t="s">
        <v>209</v>
      </c>
      <c r="E78" s="71" t="s">
        <v>372</v>
      </c>
      <c r="F78" s="250">
        <v>2032.43</v>
      </c>
      <c r="G78" s="292">
        <v>2016</v>
      </c>
      <c r="H78" s="212" t="s">
        <v>53</v>
      </c>
      <c r="I78" s="212" t="s">
        <v>373</v>
      </c>
      <c r="J78" s="89">
        <v>2032.43</v>
      </c>
      <c r="K78" s="89">
        <v>0</v>
      </c>
      <c r="L78" s="250">
        <f t="shared" si="3"/>
        <v>182.94</v>
      </c>
      <c r="M78" s="89">
        <v>182.94</v>
      </c>
      <c r="N78" s="89">
        <v>0</v>
      </c>
      <c r="O78" s="268">
        <v>182.94</v>
      </c>
      <c r="P78" s="268">
        <v>0</v>
      </c>
      <c r="Q78" s="288"/>
      <c r="R78" s="289" t="s">
        <v>107</v>
      </c>
      <c r="S78" s="111"/>
      <c r="T78" s="281"/>
      <c r="U78" s="280">
        <f t="shared" si="4"/>
        <v>0</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c r="IH78" s="28"/>
      <c r="II78" s="28"/>
      <c r="IJ78" s="28"/>
      <c r="IK78" s="28"/>
      <c r="IL78" s="28"/>
      <c r="IM78" s="28"/>
      <c r="IN78" s="28"/>
    </row>
    <row r="79" s="230" customFormat="1" ht="43.2" spans="1:248">
      <c r="A79" s="249" t="s">
        <v>374</v>
      </c>
      <c r="B79" s="58" t="s">
        <v>375</v>
      </c>
      <c r="C79" s="58" t="s">
        <v>24</v>
      </c>
      <c r="D79" s="252" t="s">
        <v>58</v>
      </c>
      <c r="E79" s="71" t="s">
        <v>376</v>
      </c>
      <c r="F79" s="250">
        <v>2506.69</v>
      </c>
      <c r="G79" s="58" t="s">
        <v>117</v>
      </c>
      <c r="H79" s="58" t="s">
        <v>53</v>
      </c>
      <c r="I79" s="89" t="s">
        <v>377</v>
      </c>
      <c r="J79" s="89">
        <v>2506.69</v>
      </c>
      <c r="K79" s="185">
        <v>0</v>
      </c>
      <c r="L79" s="250">
        <f t="shared" si="3"/>
        <v>220</v>
      </c>
      <c r="M79" s="185">
        <v>220</v>
      </c>
      <c r="N79" s="185">
        <v>0</v>
      </c>
      <c r="O79" s="268">
        <v>220</v>
      </c>
      <c r="P79" s="268">
        <v>0</v>
      </c>
      <c r="Q79" s="278"/>
      <c r="R79" s="111" t="s">
        <v>378</v>
      </c>
      <c r="S79" s="111"/>
      <c r="T79" s="281"/>
      <c r="U79" s="280">
        <f t="shared" si="4"/>
        <v>0</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row>
    <row r="80" s="230" customFormat="1" ht="85" customHeight="1" spans="1:248">
      <c r="A80" s="249" t="s">
        <v>379</v>
      </c>
      <c r="B80" s="73" t="s">
        <v>380</v>
      </c>
      <c r="C80" s="58" t="s">
        <v>24</v>
      </c>
      <c r="D80" s="252" t="s">
        <v>58</v>
      </c>
      <c r="E80" s="75" t="s">
        <v>381</v>
      </c>
      <c r="F80" s="250">
        <v>712.9</v>
      </c>
      <c r="G80" s="73" t="s">
        <v>156</v>
      </c>
      <c r="H80" s="293" t="s">
        <v>53</v>
      </c>
      <c r="I80" s="293" t="s">
        <v>382</v>
      </c>
      <c r="J80" s="89">
        <v>712.9</v>
      </c>
      <c r="K80" s="89">
        <v>0</v>
      </c>
      <c r="L80" s="250">
        <f t="shared" si="3"/>
        <v>150</v>
      </c>
      <c r="M80" s="89">
        <v>150</v>
      </c>
      <c r="N80" s="89">
        <v>0</v>
      </c>
      <c r="O80" s="268">
        <v>40</v>
      </c>
      <c r="P80" s="268">
        <v>110</v>
      </c>
      <c r="Q80" s="278"/>
      <c r="R80" s="111" t="s">
        <v>62</v>
      </c>
      <c r="S80" s="111" t="s">
        <v>63</v>
      </c>
      <c r="T80" s="281"/>
      <c r="U80" s="280">
        <f t="shared" si="4"/>
        <v>0</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row>
    <row r="81" s="230" customFormat="1" ht="69" customHeight="1" spans="1:248">
      <c r="A81" s="249" t="s">
        <v>383</v>
      </c>
      <c r="B81" s="251" t="s">
        <v>384</v>
      </c>
      <c r="C81" s="251" t="s">
        <v>24</v>
      </c>
      <c r="D81" s="252" t="s">
        <v>58</v>
      </c>
      <c r="E81" s="253" t="s">
        <v>385</v>
      </c>
      <c r="F81" s="250">
        <v>1753.4</v>
      </c>
      <c r="G81" s="253" t="s">
        <v>117</v>
      </c>
      <c r="H81" s="251" t="s">
        <v>53</v>
      </c>
      <c r="I81" s="251" t="s">
        <v>386</v>
      </c>
      <c r="J81" s="89">
        <v>1753.4</v>
      </c>
      <c r="K81" s="89">
        <v>0</v>
      </c>
      <c r="L81" s="250">
        <f t="shared" si="3"/>
        <v>150</v>
      </c>
      <c r="M81" s="89">
        <v>150</v>
      </c>
      <c r="N81" s="89">
        <v>0</v>
      </c>
      <c r="O81" s="268">
        <v>150</v>
      </c>
      <c r="P81" s="268">
        <v>0</v>
      </c>
      <c r="Q81" s="278"/>
      <c r="R81" s="111" t="s">
        <v>62</v>
      </c>
      <c r="S81" s="111"/>
      <c r="T81" s="281"/>
      <c r="U81" s="280">
        <f t="shared" si="4"/>
        <v>0</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row>
    <row r="82" s="230" customFormat="1" ht="43.2" spans="1:248">
      <c r="A82" s="249" t="s">
        <v>387</v>
      </c>
      <c r="B82" s="251" t="s">
        <v>388</v>
      </c>
      <c r="C82" s="251" t="s">
        <v>24</v>
      </c>
      <c r="D82" s="252" t="s">
        <v>58</v>
      </c>
      <c r="E82" s="253" t="s">
        <v>389</v>
      </c>
      <c r="F82" s="250">
        <v>1802.69</v>
      </c>
      <c r="G82" s="253" t="s">
        <v>314</v>
      </c>
      <c r="H82" s="251" t="s">
        <v>53</v>
      </c>
      <c r="I82" s="251" t="s">
        <v>390</v>
      </c>
      <c r="J82" s="89">
        <v>1802.69</v>
      </c>
      <c r="K82" s="89">
        <v>0</v>
      </c>
      <c r="L82" s="250">
        <f t="shared" si="3"/>
        <v>150</v>
      </c>
      <c r="M82" s="89">
        <v>150</v>
      </c>
      <c r="N82" s="89">
        <v>0</v>
      </c>
      <c r="O82" s="268">
        <v>150</v>
      </c>
      <c r="P82" s="268">
        <v>0</v>
      </c>
      <c r="Q82" s="278"/>
      <c r="R82" s="111" t="s">
        <v>62</v>
      </c>
      <c r="S82" s="111"/>
      <c r="T82" s="281"/>
      <c r="U82" s="280">
        <f t="shared" si="4"/>
        <v>0</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row>
    <row r="83" s="230" customFormat="1" ht="81" customHeight="1" spans="1:248">
      <c r="A83" s="249" t="s">
        <v>391</v>
      </c>
      <c r="B83" s="58" t="s">
        <v>392</v>
      </c>
      <c r="C83" s="58" t="s">
        <v>24</v>
      </c>
      <c r="D83" s="58" t="s">
        <v>209</v>
      </c>
      <c r="E83" s="71" t="s">
        <v>393</v>
      </c>
      <c r="F83" s="250">
        <v>484.66</v>
      </c>
      <c r="G83" s="292">
        <v>2020</v>
      </c>
      <c r="H83" s="212" t="s">
        <v>53</v>
      </c>
      <c r="I83" s="212" t="s">
        <v>394</v>
      </c>
      <c r="J83" s="89">
        <v>484.66</v>
      </c>
      <c r="K83" s="89">
        <v>0</v>
      </c>
      <c r="L83" s="250">
        <f t="shared" si="3"/>
        <v>140.76</v>
      </c>
      <c r="M83" s="89">
        <v>140.76</v>
      </c>
      <c r="N83" s="89">
        <v>0</v>
      </c>
      <c r="O83" s="268">
        <v>140.76</v>
      </c>
      <c r="P83" s="268">
        <v>0</v>
      </c>
      <c r="Q83" s="290"/>
      <c r="R83" s="291" t="s">
        <v>88</v>
      </c>
      <c r="S83" s="111"/>
      <c r="T83" s="281"/>
      <c r="U83" s="280">
        <f t="shared" si="4"/>
        <v>0</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row>
    <row r="84" s="230" customFormat="1" ht="120" customHeight="1" spans="1:248">
      <c r="A84" s="249" t="s">
        <v>395</v>
      </c>
      <c r="B84" s="73" t="s">
        <v>396</v>
      </c>
      <c r="C84" s="58" t="s">
        <v>24</v>
      </c>
      <c r="D84" s="252" t="s">
        <v>58</v>
      </c>
      <c r="E84" s="253" t="s">
        <v>397</v>
      </c>
      <c r="F84" s="250">
        <v>595.65</v>
      </c>
      <c r="G84" s="73" t="s">
        <v>73</v>
      </c>
      <c r="H84" s="73" t="s">
        <v>53</v>
      </c>
      <c r="I84" s="73" t="s">
        <v>398</v>
      </c>
      <c r="J84" s="109">
        <v>595.65</v>
      </c>
      <c r="K84" s="89">
        <v>0</v>
      </c>
      <c r="L84" s="250">
        <f t="shared" si="3"/>
        <v>137.26</v>
      </c>
      <c r="M84" s="109">
        <v>137.26</v>
      </c>
      <c r="N84" s="109">
        <v>0</v>
      </c>
      <c r="O84" s="268">
        <v>59</v>
      </c>
      <c r="P84" s="268">
        <v>78.26</v>
      </c>
      <c r="Q84" s="278"/>
      <c r="R84" s="111" t="s">
        <v>378</v>
      </c>
      <c r="S84" s="111"/>
      <c r="T84" s="281"/>
      <c r="U84" s="280">
        <f t="shared" si="4"/>
        <v>0</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row>
    <row r="85" s="230" customFormat="1" ht="80" customHeight="1" spans="1:248">
      <c r="A85" s="249" t="s">
        <v>399</v>
      </c>
      <c r="B85" s="58" t="s">
        <v>400</v>
      </c>
      <c r="C85" s="58" t="s">
        <v>24</v>
      </c>
      <c r="D85" s="252" t="s">
        <v>58</v>
      </c>
      <c r="E85" s="71" t="s">
        <v>401</v>
      </c>
      <c r="F85" s="250">
        <v>791.31</v>
      </c>
      <c r="G85" s="58" t="s">
        <v>60</v>
      </c>
      <c r="H85" s="58" t="s">
        <v>53</v>
      </c>
      <c r="I85" s="89" t="s">
        <v>402</v>
      </c>
      <c r="J85" s="89">
        <v>791.31</v>
      </c>
      <c r="K85" s="185">
        <v>0</v>
      </c>
      <c r="L85" s="250">
        <f t="shared" si="3"/>
        <v>130</v>
      </c>
      <c r="M85" s="185">
        <v>130</v>
      </c>
      <c r="N85" s="185">
        <v>0</v>
      </c>
      <c r="O85" s="268">
        <v>0</v>
      </c>
      <c r="P85" s="268">
        <v>130</v>
      </c>
      <c r="Q85" s="278"/>
      <c r="R85" s="111" t="s">
        <v>107</v>
      </c>
      <c r="S85" s="111"/>
      <c r="T85" s="281"/>
      <c r="U85" s="280">
        <f t="shared" si="4"/>
        <v>0</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row>
    <row r="86" s="230" customFormat="1" ht="48" customHeight="1" spans="1:248">
      <c r="A86" s="249" t="s">
        <v>403</v>
      </c>
      <c r="B86" s="251" t="s">
        <v>404</v>
      </c>
      <c r="C86" s="251" t="s">
        <v>24</v>
      </c>
      <c r="D86" s="252" t="s">
        <v>58</v>
      </c>
      <c r="E86" s="253" t="s">
        <v>405</v>
      </c>
      <c r="F86" s="250">
        <v>1039</v>
      </c>
      <c r="G86" s="253" t="s">
        <v>406</v>
      </c>
      <c r="H86" s="251" t="s">
        <v>53</v>
      </c>
      <c r="I86" s="251" t="s">
        <v>128</v>
      </c>
      <c r="J86" s="89">
        <v>1039</v>
      </c>
      <c r="K86" s="89">
        <v>0</v>
      </c>
      <c r="L86" s="250">
        <f t="shared" si="3"/>
        <v>6.9</v>
      </c>
      <c r="M86" s="89">
        <v>6.9</v>
      </c>
      <c r="N86" s="89">
        <v>0</v>
      </c>
      <c r="O86" s="268">
        <v>5.3</v>
      </c>
      <c r="P86" s="268">
        <v>1.6</v>
      </c>
      <c r="Q86" s="278"/>
      <c r="R86" s="111" t="s">
        <v>62</v>
      </c>
      <c r="S86" s="111"/>
      <c r="T86" s="281"/>
      <c r="U86" s="280">
        <f t="shared" si="4"/>
        <v>0</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row>
    <row r="87" s="230" customFormat="1" ht="57" customHeight="1" spans="1:248">
      <c r="A87" s="249" t="s">
        <v>407</v>
      </c>
      <c r="B87" s="251" t="s">
        <v>408</v>
      </c>
      <c r="C87" s="251" t="s">
        <v>24</v>
      </c>
      <c r="D87" s="252" t="s">
        <v>58</v>
      </c>
      <c r="E87" s="253" t="s">
        <v>409</v>
      </c>
      <c r="F87" s="250">
        <v>429.97</v>
      </c>
      <c r="G87" s="253" t="s">
        <v>251</v>
      </c>
      <c r="H87" s="251" t="s">
        <v>53</v>
      </c>
      <c r="I87" s="251" t="s">
        <v>410</v>
      </c>
      <c r="J87" s="89">
        <v>429.97</v>
      </c>
      <c r="K87" s="89">
        <v>0</v>
      </c>
      <c r="L87" s="250">
        <f t="shared" si="3"/>
        <v>110</v>
      </c>
      <c r="M87" s="89">
        <v>110</v>
      </c>
      <c r="N87" s="89">
        <v>0</v>
      </c>
      <c r="O87" s="268">
        <v>0</v>
      </c>
      <c r="P87" s="268">
        <v>110</v>
      </c>
      <c r="Q87" s="278"/>
      <c r="R87" s="111" t="s">
        <v>62</v>
      </c>
      <c r="S87" s="111"/>
      <c r="T87" s="281"/>
      <c r="U87" s="280">
        <f t="shared" si="4"/>
        <v>0</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c r="HM87" s="28"/>
      <c r="HN87" s="28"/>
      <c r="HO87" s="28"/>
      <c r="HP87" s="28"/>
      <c r="HQ87" s="28"/>
      <c r="HR87" s="28"/>
      <c r="HS87" s="28"/>
      <c r="HT87" s="28"/>
      <c r="HU87" s="28"/>
      <c r="HV87" s="28"/>
      <c r="HW87" s="28"/>
      <c r="HX87" s="28"/>
      <c r="HY87" s="28"/>
      <c r="HZ87" s="28"/>
      <c r="IA87" s="28"/>
      <c r="IB87" s="28"/>
      <c r="IC87" s="28"/>
      <c r="ID87" s="28"/>
      <c r="IE87" s="28"/>
      <c r="IF87" s="28"/>
      <c r="IG87" s="28"/>
      <c r="IH87" s="28"/>
      <c r="II87" s="28"/>
      <c r="IJ87" s="28"/>
      <c r="IK87" s="28"/>
      <c r="IL87" s="28"/>
      <c r="IM87" s="28"/>
      <c r="IN87" s="28"/>
    </row>
    <row r="88" s="230" customFormat="1" ht="43.2" spans="1:248">
      <c r="A88" s="249" t="s">
        <v>411</v>
      </c>
      <c r="B88" s="58" t="s">
        <v>412</v>
      </c>
      <c r="C88" s="58" t="s">
        <v>24</v>
      </c>
      <c r="D88" s="71" t="s">
        <v>66</v>
      </c>
      <c r="E88" s="71" t="s">
        <v>413</v>
      </c>
      <c r="F88" s="250">
        <v>3225.27</v>
      </c>
      <c r="G88" s="89" t="s">
        <v>117</v>
      </c>
      <c r="H88" s="71" t="s">
        <v>53</v>
      </c>
      <c r="I88" s="89" t="s">
        <v>414</v>
      </c>
      <c r="J88" s="89">
        <v>2500</v>
      </c>
      <c r="K88" s="185">
        <v>0</v>
      </c>
      <c r="L88" s="250">
        <v>292</v>
      </c>
      <c r="M88" s="185">
        <v>292</v>
      </c>
      <c r="N88" s="89">
        <v>0</v>
      </c>
      <c r="O88" s="268">
        <v>292</v>
      </c>
      <c r="P88" s="268">
        <v>0</v>
      </c>
      <c r="Q88" s="278"/>
      <c r="R88" s="111" t="s">
        <v>88</v>
      </c>
      <c r="S88" s="111"/>
      <c r="T88" s="281"/>
      <c r="U88" s="280">
        <f t="shared" si="4"/>
        <v>0</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row>
    <row r="89" s="230" customFormat="1" ht="43.2" spans="1:248">
      <c r="A89" s="249" t="s">
        <v>415</v>
      </c>
      <c r="B89" s="251" t="s">
        <v>416</v>
      </c>
      <c r="C89" s="251" t="s">
        <v>24</v>
      </c>
      <c r="D89" s="252" t="s">
        <v>58</v>
      </c>
      <c r="E89" s="253" t="s">
        <v>417</v>
      </c>
      <c r="F89" s="250">
        <v>376.66</v>
      </c>
      <c r="G89" s="253" t="s">
        <v>117</v>
      </c>
      <c r="H89" s="251" t="s">
        <v>53</v>
      </c>
      <c r="I89" s="251" t="s">
        <v>418</v>
      </c>
      <c r="J89" s="89">
        <v>376.66</v>
      </c>
      <c r="K89" s="89">
        <v>0</v>
      </c>
      <c r="L89" s="250">
        <f t="shared" si="3"/>
        <v>100</v>
      </c>
      <c r="M89" s="89">
        <v>100</v>
      </c>
      <c r="N89" s="89">
        <v>0</v>
      </c>
      <c r="O89" s="268">
        <v>0</v>
      </c>
      <c r="P89" s="268">
        <v>100</v>
      </c>
      <c r="Q89" s="278"/>
      <c r="R89" s="111" t="s">
        <v>62</v>
      </c>
      <c r="S89" s="111"/>
      <c r="T89" s="281"/>
      <c r="U89" s="280">
        <f t="shared" si="4"/>
        <v>0</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row>
    <row r="90" s="230" customFormat="1" ht="57.6" spans="1:248">
      <c r="A90" s="249" t="s">
        <v>419</v>
      </c>
      <c r="B90" s="251" t="s">
        <v>420</v>
      </c>
      <c r="C90" s="251" t="s">
        <v>24</v>
      </c>
      <c r="D90" s="252" t="s">
        <v>58</v>
      </c>
      <c r="E90" s="253" t="s">
        <v>421</v>
      </c>
      <c r="F90" s="250">
        <v>1029.74</v>
      </c>
      <c r="G90" s="253" t="s">
        <v>422</v>
      </c>
      <c r="H90" s="251" t="s">
        <v>53</v>
      </c>
      <c r="I90" s="251" t="s">
        <v>423</v>
      </c>
      <c r="J90" s="89">
        <v>1029.74</v>
      </c>
      <c r="K90" s="89">
        <v>0</v>
      </c>
      <c r="L90" s="250">
        <f t="shared" si="3"/>
        <v>100</v>
      </c>
      <c r="M90" s="89">
        <v>100</v>
      </c>
      <c r="N90" s="89">
        <v>0</v>
      </c>
      <c r="O90" s="268">
        <v>100</v>
      </c>
      <c r="P90" s="268">
        <v>0</v>
      </c>
      <c r="Q90" s="278"/>
      <c r="R90" s="111" t="s">
        <v>62</v>
      </c>
      <c r="S90" s="111"/>
      <c r="T90" s="281"/>
      <c r="U90" s="280">
        <f t="shared" si="4"/>
        <v>0</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row>
    <row r="91" s="230" customFormat="1" ht="48" customHeight="1" spans="1:248">
      <c r="A91" s="249" t="s">
        <v>424</v>
      </c>
      <c r="B91" s="57" t="s">
        <v>425</v>
      </c>
      <c r="C91" s="57" t="s">
        <v>24</v>
      </c>
      <c r="D91" s="252" t="s">
        <v>58</v>
      </c>
      <c r="E91" s="59" t="s">
        <v>426</v>
      </c>
      <c r="F91" s="250">
        <v>320.45</v>
      </c>
      <c r="G91" s="57" t="s">
        <v>93</v>
      </c>
      <c r="H91" s="57" t="s">
        <v>53</v>
      </c>
      <c r="I91" s="57" t="s">
        <v>427</v>
      </c>
      <c r="J91" s="185">
        <v>320.45</v>
      </c>
      <c r="K91" s="185"/>
      <c r="L91" s="250">
        <f t="shared" si="3"/>
        <v>100</v>
      </c>
      <c r="M91" s="185">
        <v>100</v>
      </c>
      <c r="N91" s="185">
        <v>0</v>
      </c>
      <c r="O91" s="268">
        <v>100</v>
      </c>
      <c r="P91" s="268">
        <v>0</v>
      </c>
      <c r="Q91" s="278"/>
      <c r="R91" s="111" t="s">
        <v>107</v>
      </c>
      <c r="S91" s="111"/>
      <c r="T91" s="281"/>
      <c r="U91" s="280">
        <f t="shared" si="4"/>
        <v>0</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row>
    <row r="92" s="230" customFormat="1" ht="58" customHeight="1" spans="1:248">
      <c r="A92" s="249" t="s">
        <v>428</v>
      </c>
      <c r="B92" s="73" t="s">
        <v>429</v>
      </c>
      <c r="C92" s="73" t="s">
        <v>24</v>
      </c>
      <c r="D92" s="252" t="s">
        <v>58</v>
      </c>
      <c r="E92" s="75" t="s">
        <v>430</v>
      </c>
      <c r="F92" s="250">
        <v>209.63</v>
      </c>
      <c r="G92" s="73" t="s">
        <v>60</v>
      </c>
      <c r="H92" s="58" t="s">
        <v>53</v>
      </c>
      <c r="I92" s="73" t="s">
        <v>431</v>
      </c>
      <c r="J92" s="185">
        <v>209.63</v>
      </c>
      <c r="K92" s="185">
        <v>0</v>
      </c>
      <c r="L92" s="250">
        <f t="shared" si="3"/>
        <v>100</v>
      </c>
      <c r="M92" s="185">
        <v>100</v>
      </c>
      <c r="N92" s="185">
        <v>0</v>
      </c>
      <c r="O92" s="268">
        <v>100</v>
      </c>
      <c r="P92" s="268">
        <v>0</v>
      </c>
      <c r="Q92" s="278"/>
      <c r="R92" s="111" t="s">
        <v>107</v>
      </c>
      <c r="S92" s="111"/>
      <c r="T92" s="281"/>
      <c r="U92" s="280">
        <f t="shared" si="4"/>
        <v>0</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row>
    <row r="93" s="230" customFormat="1" ht="181" customHeight="1" spans="1:248">
      <c r="A93" s="249" t="s">
        <v>432</v>
      </c>
      <c r="B93" s="294" t="s">
        <v>433</v>
      </c>
      <c r="C93" s="295" t="s">
        <v>24</v>
      </c>
      <c r="D93" s="252" t="s">
        <v>58</v>
      </c>
      <c r="E93" s="296" t="s">
        <v>434</v>
      </c>
      <c r="F93" s="250">
        <v>426</v>
      </c>
      <c r="G93" s="294" t="s">
        <v>156</v>
      </c>
      <c r="H93" s="297" t="s">
        <v>53</v>
      </c>
      <c r="I93" s="294" t="s">
        <v>435</v>
      </c>
      <c r="J93" s="298">
        <v>426</v>
      </c>
      <c r="K93" s="298">
        <v>0</v>
      </c>
      <c r="L93" s="250">
        <f t="shared" si="3"/>
        <v>100</v>
      </c>
      <c r="M93" s="298">
        <v>100</v>
      </c>
      <c r="N93" s="298">
        <v>0</v>
      </c>
      <c r="O93" s="268">
        <v>0</v>
      </c>
      <c r="P93" s="268">
        <v>100</v>
      </c>
      <c r="Q93" s="278"/>
      <c r="R93" s="111" t="s">
        <v>107</v>
      </c>
      <c r="S93" s="111" t="s">
        <v>63</v>
      </c>
      <c r="T93" s="281"/>
      <c r="U93" s="280">
        <f t="shared" si="4"/>
        <v>0</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row>
    <row r="94" s="230" customFormat="1" ht="86.4" spans="1:248">
      <c r="A94" s="249" t="s">
        <v>436</v>
      </c>
      <c r="B94" s="58" t="s">
        <v>437</v>
      </c>
      <c r="C94" s="58" t="s">
        <v>24</v>
      </c>
      <c r="D94" s="252" t="s">
        <v>110</v>
      </c>
      <c r="E94" s="71" t="s">
        <v>438</v>
      </c>
      <c r="F94" s="250">
        <v>7708.68</v>
      </c>
      <c r="G94" s="58" t="s">
        <v>439</v>
      </c>
      <c r="H94" s="58" t="s">
        <v>53</v>
      </c>
      <c r="I94" s="58" t="s">
        <v>440</v>
      </c>
      <c r="J94" s="89">
        <v>7708.68</v>
      </c>
      <c r="K94" s="89">
        <v>0</v>
      </c>
      <c r="L94" s="250">
        <f t="shared" si="3"/>
        <v>100</v>
      </c>
      <c r="M94" s="89">
        <v>100</v>
      </c>
      <c r="N94" s="89">
        <v>0</v>
      </c>
      <c r="O94" s="268">
        <v>100</v>
      </c>
      <c r="P94" s="268">
        <v>0</v>
      </c>
      <c r="Q94" s="285"/>
      <c r="R94" s="287" t="s">
        <v>62</v>
      </c>
      <c r="S94" s="111"/>
      <c r="T94" s="239"/>
      <c r="U94" s="280">
        <f t="shared" si="4"/>
        <v>0</v>
      </c>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row>
    <row r="95" s="230" customFormat="1" ht="86.4" spans="1:248">
      <c r="A95" s="249" t="s">
        <v>441</v>
      </c>
      <c r="B95" s="58" t="s">
        <v>442</v>
      </c>
      <c r="C95" s="58" t="s">
        <v>24</v>
      </c>
      <c r="D95" s="252" t="s">
        <v>110</v>
      </c>
      <c r="E95" s="71" t="s">
        <v>443</v>
      </c>
      <c r="F95" s="250">
        <v>14169.31</v>
      </c>
      <c r="G95" s="58" t="s">
        <v>166</v>
      </c>
      <c r="H95" s="58" t="s">
        <v>53</v>
      </c>
      <c r="I95" s="58" t="s">
        <v>444</v>
      </c>
      <c r="J95" s="89">
        <v>14169.31</v>
      </c>
      <c r="K95" s="89">
        <v>0</v>
      </c>
      <c r="L95" s="250">
        <f t="shared" si="3"/>
        <v>100</v>
      </c>
      <c r="M95" s="89">
        <v>100</v>
      </c>
      <c r="N95" s="89">
        <v>0</v>
      </c>
      <c r="O95" s="268">
        <v>100</v>
      </c>
      <c r="P95" s="268">
        <v>0</v>
      </c>
      <c r="Q95" s="285"/>
      <c r="R95" s="287" t="s">
        <v>62</v>
      </c>
      <c r="S95" s="111"/>
      <c r="T95" s="239"/>
      <c r="U95" s="280">
        <f t="shared" si="4"/>
        <v>0</v>
      </c>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row>
    <row r="96" s="230" customFormat="1" ht="129.6" spans="1:248">
      <c r="A96" s="249" t="s">
        <v>445</v>
      </c>
      <c r="B96" s="58" t="s">
        <v>446</v>
      </c>
      <c r="C96" s="58" t="s">
        <v>24</v>
      </c>
      <c r="D96" s="252" t="s">
        <v>110</v>
      </c>
      <c r="E96" s="71" t="s">
        <v>447</v>
      </c>
      <c r="F96" s="250">
        <v>16098.3</v>
      </c>
      <c r="G96" s="58" t="s">
        <v>179</v>
      </c>
      <c r="H96" s="58" t="s">
        <v>53</v>
      </c>
      <c r="I96" s="58" t="s">
        <v>448</v>
      </c>
      <c r="J96" s="89">
        <v>16098.3</v>
      </c>
      <c r="K96" s="89">
        <v>0</v>
      </c>
      <c r="L96" s="250">
        <f t="shared" si="3"/>
        <v>100</v>
      </c>
      <c r="M96" s="89">
        <v>100</v>
      </c>
      <c r="N96" s="89">
        <v>0</v>
      </c>
      <c r="O96" s="268">
        <v>100</v>
      </c>
      <c r="P96" s="268">
        <v>0</v>
      </c>
      <c r="Q96" s="285"/>
      <c r="R96" s="287" t="s">
        <v>62</v>
      </c>
      <c r="S96" s="111"/>
      <c r="T96" s="239"/>
      <c r="U96" s="280">
        <f t="shared" si="4"/>
        <v>0</v>
      </c>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row>
    <row r="97" s="230" customFormat="1" ht="67" customHeight="1" spans="1:248">
      <c r="A97" s="249" t="s">
        <v>449</v>
      </c>
      <c r="B97" s="58" t="s">
        <v>450</v>
      </c>
      <c r="C97" s="58" t="s">
        <v>24</v>
      </c>
      <c r="D97" s="252" t="s">
        <v>58</v>
      </c>
      <c r="E97" s="253" t="s">
        <v>451</v>
      </c>
      <c r="F97" s="250">
        <v>362.9</v>
      </c>
      <c r="G97" s="89" t="s">
        <v>242</v>
      </c>
      <c r="H97" s="251" t="s">
        <v>53</v>
      </c>
      <c r="I97" s="73" t="s">
        <v>452</v>
      </c>
      <c r="J97" s="109">
        <f>F97</f>
        <v>362.9</v>
      </c>
      <c r="K97" s="109">
        <v>0</v>
      </c>
      <c r="L97" s="250">
        <f t="shared" si="3"/>
        <v>97.96</v>
      </c>
      <c r="M97" s="109">
        <f>J97-264.94</f>
        <v>97.96</v>
      </c>
      <c r="N97" s="109">
        <v>0</v>
      </c>
      <c r="O97" s="268">
        <v>97.96</v>
      </c>
      <c r="P97" s="268">
        <v>0</v>
      </c>
      <c r="Q97" s="278"/>
      <c r="R97" s="111" t="s">
        <v>107</v>
      </c>
      <c r="S97" s="111"/>
      <c r="T97" s="281"/>
      <c r="U97" s="280">
        <f t="shared" si="4"/>
        <v>0</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row>
    <row r="98" s="230" customFormat="1" ht="93" customHeight="1" spans="1:248">
      <c r="A98" s="249" t="s">
        <v>453</v>
      </c>
      <c r="B98" s="58" t="s">
        <v>454</v>
      </c>
      <c r="C98" s="58" t="s">
        <v>24</v>
      </c>
      <c r="D98" s="58" t="s">
        <v>209</v>
      </c>
      <c r="E98" s="71" t="s">
        <v>455</v>
      </c>
      <c r="F98" s="250">
        <v>276.88</v>
      </c>
      <c r="G98" s="212" t="s">
        <v>242</v>
      </c>
      <c r="H98" s="212" t="s">
        <v>53</v>
      </c>
      <c r="I98" s="212" t="s">
        <v>456</v>
      </c>
      <c r="J98" s="89">
        <v>276.88</v>
      </c>
      <c r="K98" s="89">
        <v>0</v>
      </c>
      <c r="L98" s="250">
        <f t="shared" si="3"/>
        <v>95.77</v>
      </c>
      <c r="M98" s="89">
        <v>95.77</v>
      </c>
      <c r="N98" s="89">
        <v>0</v>
      </c>
      <c r="O98" s="268">
        <v>95.77</v>
      </c>
      <c r="P98" s="268">
        <v>0</v>
      </c>
      <c r="Q98" s="290"/>
      <c r="R98" s="291" t="s">
        <v>107</v>
      </c>
      <c r="S98" s="111"/>
      <c r="T98" s="281"/>
      <c r="U98" s="280">
        <f t="shared" si="4"/>
        <v>0</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c r="HD98" s="28"/>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row>
    <row r="99" s="230" customFormat="1" ht="72" spans="1:248">
      <c r="A99" s="249" t="s">
        <v>457</v>
      </c>
      <c r="B99" s="251" t="s">
        <v>458</v>
      </c>
      <c r="C99" s="251" t="s">
        <v>24</v>
      </c>
      <c r="D99" s="252" t="s">
        <v>58</v>
      </c>
      <c r="E99" s="253" t="s">
        <v>459</v>
      </c>
      <c r="F99" s="250">
        <v>1108.55</v>
      </c>
      <c r="G99" s="253" t="s">
        <v>406</v>
      </c>
      <c r="H99" s="251" t="s">
        <v>53</v>
      </c>
      <c r="I99" s="251" t="s">
        <v>460</v>
      </c>
      <c r="J99" s="89">
        <v>1108.55</v>
      </c>
      <c r="K99" s="89">
        <v>0</v>
      </c>
      <c r="L99" s="250">
        <f t="shared" si="3"/>
        <v>94</v>
      </c>
      <c r="M99" s="89">
        <v>94</v>
      </c>
      <c r="N99" s="89">
        <v>0</v>
      </c>
      <c r="O99" s="268">
        <v>10</v>
      </c>
      <c r="P99" s="268">
        <v>84</v>
      </c>
      <c r="Q99" s="278"/>
      <c r="R99" s="111" t="s">
        <v>62</v>
      </c>
      <c r="S99" s="111"/>
      <c r="T99" s="281"/>
      <c r="U99" s="280">
        <f t="shared" si="4"/>
        <v>0</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28"/>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row>
    <row r="100" s="230" customFormat="1" ht="43.2" spans="1:248">
      <c r="A100" s="249" t="s">
        <v>461</v>
      </c>
      <c r="B100" s="251" t="s">
        <v>462</v>
      </c>
      <c r="C100" s="251" t="s">
        <v>24</v>
      </c>
      <c r="D100" s="252" t="s">
        <v>58</v>
      </c>
      <c r="E100" s="253" t="s">
        <v>463</v>
      </c>
      <c r="F100" s="250">
        <v>429.17</v>
      </c>
      <c r="G100" s="253" t="s">
        <v>251</v>
      </c>
      <c r="H100" s="251" t="s">
        <v>53</v>
      </c>
      <c r="I100" s="251" t="s">
        <v>464</v>
      </c>
      <c r="J100" s="89">
        <v>429.17</v>
      </c>
      <c r="K100" s="89">
        <v>0</v>
      </c>
      <c r="L100" s="250">
        <f t="shared" si="3"/>
        <v>90</v>
      </c>
      <c r="M100" s="89">
        <v>90</v>
      </c>
      <c r="N100" s="89">
        <v>0</v>
      </c>
      <c r="O100" s="268">
        <v>90</v>
      </c>
      <c r="P100" s="268">
        <v>0</v>
      </c>
      <c r="Q100" s="278"/>
      <c r="R100" s="111" t="s">
        <v>107</v>
      </c>
      <c r="S100" s="111"/>
      <c r="T100" s="281"/>
      <c r="U100" s="280">
        <f t="shared" si="4"/>
        <v>0</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28"/>
      <c r="GT100" s="28"/>
      <c r="GU100" s="28"/>
      <c r="GV100" s="28"/>
      <c r="GW100" s="28"/>
      <c r="GX100" s="28"/>
      <c r="GY100" s="28"/>
      <c r="GZ100" s="28"/>
      <c r="HA100" s="28"/>
      <c r="HB100" s="28"/>
      <c r="HC100" s="28"/>
      <c r="HD100" s="28"/>
      <c r="HE100" s="28"/>
      <c r="HF100" s="28"/>
      <c r="HG100" s="28"/>
      <c r="HH100" s="28"/>
      <c r="HI100" s="28"/>
      <c r="HJ100" s="28"/>
      <c r="HK100" s="28"/>
      <c r="HL100" s="28"/>
      <c r="HM100" s="28"/>
      <c r="HN100" s="28"/>
      <c r="HO100" s="28"/>
      <c r="HP100" s="28"/>
      <c r="HQ100" s="28"/>
      <c r="HR100" s="28"/>
      <c r="HS100" s="28"/>
      <c r="HT100" s="28"/>
      <c r="HU100" s="28"/>
      <c r="HV100" s="28"/>
      <c r="HW100" s="28"/>
      <c r="HX100" s="28"/>
      <c r="HY100" s="28"/>
      <c r="HZ100" s="28"/>
      <c r="IA100" s="28"/>
      <c r="IB100" s="28"/>
      <c r="IC100" s="28"/>
      <c r="ID100" s="28"/>
      <c r="IE100" s="28"/>
      <c r="IF100" s="28"/>
      <c r="IG100" s="28"/>
      <c r="IH100" s="28"/>
      <c r="II100" s="28"/>
      <c r="IJ100" s="28"/>
      <c r="IK100" s="28"/>
      <c r="IL100" s="28"/>
      <c r="IM100" s="28"/>
      <c r="IN100" s="28"/>
    </row>
    <row r="101" s="230" customFormat="1" ht="57.6" spans="1:248">
      <c r="A101" s="249" t="s">
        <v>465</v>
      </c>
      <c r="B101" s="175" t="s">
        <v>466</v>
      </c>
      <c r="C101" s="61" t="s">
        <v>24</v>
      </c>
      <c r="D101" s="175" t="s">
        <v>145</v>
      </c>
      <c r="E101" s="211" t="s">
        <v>467</v>
      </c>
      <c r="F101" s="250">
        <v>392.61</v>
      </c>
      <c r="G101" s="175" t="s">
        <v>242</v>
      </c>
      <c r="H101" s="175" t="s">
        <v>53</v>
      </c>
      <c r="I101" s="175" t="s">
        <v>468</v>
      </c>
      <c r="J101" s="185">
        <v>392.61</v>
      </c>
      <c r="K101" s="185">
        <v>0</v>
      </c>
      <c r="L101" s="250">
        <f t="shared" si="3"/>
        <v>87</v>
      </c>
      <c r="M101" s="185">
        <v>87</v>
      </c>
      <c r="N101" s="185">
        <v>0</v>
      </c>
      <c r="O101" s="268">
        <v>86</v>
      </c>
      <c r="P101" s="268">
        <v>1</v>
      </c>
      <c r="Q101" s="278"/>
      <c r="R101" s="111" t="s">
        <v>62</v>
      </c>
      <c r="S101" s="111"/>
      <c r="T101" s="281"/>
      <c r="U101" s="280">
        <f t="shared" si="4"/>
        <v>0</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c r="HD101" s="28"/>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row>
    <row r="102" s="230" customFormat="1" ht="57.6" spans="1:248">
      <c r="A102" s="249" t="s">
        <v>469</v>
      </c>
      <c r="B102" s="58" t="s">
        <v>470</v>
      </c>
      <c r="C102" s="58" t="s">
        <v>24</v>
      </c>
      <c r="D102" s="252" t="s">
        <v>58</v>
      </c>
      <c r="E102" s="71" t="s">
        <v>471</v>
      </c>
      <c r="F102" s="250">
        <v>310.88</v>
      </c>
      <c r="G102" s="89" t="s">
        <v>242</v>
      </c>
      <c r="H102" s="251" t="s">
        <v>53</v>
      </c>
      <c r="I102" s="73" t="s">
        <v>472</v>
      </c>
      <c r="J102" s="109">
        <f>F102</f>
        <v>310.88</v>
      </c>
      <c r="K102" s="109">
        <v>0</v>
      </c>
      <c r="L102" s="250">
        <f t="shared" si="3"/>
        <v>84.94</v>
      </c>
      <c r="M102" s="109">
        <f>J102-225.94</f>
        <v>84.94</v>
      </c>
      <c r="N102" s="109">
        <v>0</v>
      </c>
      <c r="O102" s="268">
        <v>84.94</v>
      </c>
      <c r="P102" s="268">
        <v>0</v>
      </c>
      <c r="Q102" s="278"/>
      <c r="R102" s="111" t="s">
        <v>107</v>
      </c>
      <c r="S102" s="111"/>
      <c r="T102" s="281"/>
      <c r="U102" s="280">
        <f t="shared" si="4"/>
        <v>0</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c r="HD102" s="28"/>
      <c r="HE102" s="28"/>
      <c r="HF102" s="28"/>
      <c r="HG102" s="28"/>
      <c r="HH102" s="28"/>
      <c r="HI102" s="28"/>
      <c r="HJ102" s="28"/>
      <c r="HK102" s="28"/>
      <c r="HL102" s="28"/>
      <c r="HM102" s="28"/>
      <c r="HN102" s="28"/>
      <c r="HO102" s="28"/>
      <c r="HP102" s="28"/>
      <c r="HQ102" s="28"/>
      <c r="HR102" s="28"/>
      <c r="HS102" s="28"/>
      <c r="HT102" s="28"/>
      <c r="HU102" s="28"/>
      <c r="HV102" s="28"/>
      <c r="HW102" s="28"/>
      <c r="HX102" s="28"/>
      <c r="HY102" s="28"/>
      <c r="HZ102" s="28"/>
      <c r="IA102" s="28"/>
      <c r="IB102" s="28"/>
      <c r="IC102" s="28"/>
      <c r="ID102" s="28"/>
      <c r="IE102" s="28"/>
      <c r="IF102" s="28"/>
      <c r="IG102" s="28"/>
      <c r="IH102" s="28"/>
      <c r="II102" s="28"/>
      <c r="IJ102" s="28"/>
      <c r="IK102" s="28"/>
      <c r="IL102" s="28"/>
      <c r="IM102" s="28"/>
      <c r="IN102" s="28"/>
    </row>
    <row r="103" s="230" customFormat="1" ht="43.2" spans="1:248">
      <c r="A103" s="249" t="s">
        <v>473</v>
      </c>
      <c r="B103" s="251" t="s">
        <v>474</v>
      </c>
      <c r="C103" s="251" t="s">
        <v>24</v>
      </c>
      <c r="D103" s="252" t="s">
        <v>58</v>
      </c>
      <c r="E103" s="253" t="s">
        <v>475</v>
      </c>
      <c r="F103" s="250">
        <v>576.76</v>
      </c>
      <c r="G103" s="253" t="s">
        <v>476</v>
      </c>
      <c r="H103" s="251" t="s">
        <v>53</v>
      </c>
      <c r="I103" s="251" t="s">
        <v>477</v>
      </c>
      <c r="J103" s="89">
        <v>576.76</v>
      </c>
      <c r="K103" s="89">
        <v>0</v>
      </c>
      <c r="L103" s="250">
        <f t="shared" si="3"/>
        <v>80</v>
      </c>
      <c r="M103" s="89">
        <v>80</v>
      </c>
      <c r="N103" s="89">
        <v>0</v>
      </c>
      <c r="O103" s="268">
        <v>80</v>
      </c>
      <c r="P103" s="268">
        <v>0</v>
      </c>
      <c r="Q103" s="278"/>
      <c r="R103" s="111" t="s">
        <v>62</v>
      </c>
      <c r="S103" s="111"/>
      <c r="T103" s="281"/>
      <c r="U103" s="280">
        <f t="shared" si="4"/>
        <v>0</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row>
    <row r="104" s="230" customFormat="1" ht="43.2" spans="1:248">
      <c r="A104" s="249" t="s">
        <v>478</v>
      </c>
      <c r="B104" s="251" t="s">
        <v>479</v>
      </c>
      <c r="C104" s="251" t="s">
        <v>24</v>
      </c>
      <c r="D104" s="252" t="s">
        <v>58</v>
      </c>
      <c r="E104" s="253" t="s">
        <v>480</v>
      </c>
      <c r="F104" s="250">
        <v>757.41</v>
      </c>
      <c r="G104" s="253" t="s">
        <v>117</v>
      </c>
      <c r="H104" s="251" t="s">
        <v>53</v>
      </c>
      <c r="I104" s="251" t="s">
        <v>481</v>
      </c>
      <c r="J104" s="89">
        <v>757.41</v>
      </c>
      <c r="K104" s="89">
        <v>0</v>
      </c>
      <c r="L104" s="250">
        <f t="shared" si="3"/>
        <v>80</v>
      </c>
      <c r="M104" s="89">
        <v>80</v>
      </c>
      <c r="N104" s="89">
        <v>0</v>
      </c>
      <c r="O104" s="268">
        <v>0</v>
      </c>
      <c r="P104" s="268">
        <v>80</v>
      </c>
      <c r="Q104" s="278"/>
      <c r="R104" s="111" t="s">
        <v>62</v>
      </c>
      <c r="S104" s="111"/>
      <c r="T104" s="281"/>
      <c r="U104" s="280">
        <f t="shared" si="4"/>
        <v>0</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row>
    <row r="105" s="230" customFormat="1" ht="43.2" spans="1:248">
      <c r="A105" s="249" t="s">
        <v>482</v>
      </c>
      <c r="B105" s="58" t="s">
        <v>483</v>
      </c>
      <c r="C105" s="58" t="s">
        <v>24</v>
      </c>
      <c r="D105" s="252" t="s">
        <v>58</v>
      </c>
      <c r="E105" s="71" t="s">
        <v>484</v>
      </c>
      <c r="F105" s="250">
        <v>630.03</v>
      </c>
      <c r="G105" s="58" t="s">
        <v>117</v>
      </c>
      <c r="H105" s="58" t="s">
        <v>53</v>
      </c>
      <c r="I105" s="89" t="s">
        <v>485</v>
      </c>
      <c r="J105" s="89">
        <v>630.03</v>
      </c>
      <c r="K105" s="185">
        <v>0</v>
      </c>
      <c r="L105" s="250">
        <f t="shared" si="3"/>
        <v>80</v>
      </c>
      <c r="M105" s="185">
        <v>80</v>
      </c>
      <c r="N105" s="185">
        <v>0</v>
      </c>
      <c r="O105" s="268">
        <v>0</v>
      </c>
      <c r="P105" s="268">
        <v>80</v>
      </c>
      <c r="Q105" s="278"/>
      <c r="R105" s="111" t="s">
        <v>62</v>
      </c>
      <c r="S105" s="111"/>
      <c r="T105" s="281"/>
      <c r="U105" s="280">
        <f t="shared" si="4"/>
        <v>0</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row>
    <row r="106" s="230" customFormat="1" ht="57.6" spans="1:248">
      <c r="A106" s="249" t="s">
        <v>486</v>
      </c>
      <c r="B106" s="58" t="s">
        <v>487</v>
      </c>
      <c r="C106" s="58" t="s">
        <v>24</v>
      </c>
      <c r="D106" s="252" t="s">
        <v>58</v>
      </c>
      <c r="E106" s="71" t="s">
        <v>488</v>
      </c>
      <c r="F106" s="250">
        <v>735.75</v>
      </c>
      <c r="G106" s="58" t="s">
        <v>147</v>
      </c>
      <c r="H106" s="58" t="s">
        <v>53</v>
      </c>
      <c r="I106" s="89" t="s">
        <v>489</v>
      </c>
      <c r="J106" s="89">
        <v>735.75</v>
      </c>
      <c r="K106" s="185">
        <v>0</v>
      </c>
      <c r="L106" s="250">
        <f t="shared" si="3"/>
        <v>80</v>
      </c>
      <c r="M106" s="185">
        <v>80</v>
      </c>
      <c r="N106" s="185">
        <v>0</v>
      </c>
      <c r="O106" s="268">
        <v>80</v>
      </c>
      <c r="P106" s="268">
        <v>0</v>
      </c>
      <c r="Q106" s="278"/>
      <c r="R106" s="111" t="s">
        <v>62</v>
      </c>
      <c r="S106" s="111"/>
      <c r="T106" s="281"/>
      <c r="U106" s="280">
        <f t="shared" si="4"/>
        <v>0</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row>
    <row r="107" s="230" customFormat="1" ht="129.6" spans="1:248">
      <c r="A107" s="249" t="s">
        <v>490</v>
      </c>
      <c r="B107" s="73" t="s">
        <v>491</v>
      </c>
      <c r="C107" s="58" t="s">
        <v>24</v>
      </c>
      <c r="D107" s="252" t="s">
        <v>58</v>
      </c>
      <c r="E107" s="253" t="s">
        <v>492</v>
      </c>
      <c r="F107" s="250">
        <v>462.17</v>
      </c>
      <c r="G107" s="73" t="s">
        <v>73</v>
      </c>
      <c r="H107" s="73" t="s">
        <v>53</v>
      </c>
      <c r="I107" s="73" t="s">
        <v>493</v>
      </c>
      <c r="J107" s="109">
        <v>462.17</v>
      </c>
      <c r="K107" s="89">
        <v>0</v>
      </c>
      <c r="L107" s="250">
        <f t="shared" si="3"/>
        <v>77.55</v>
      </c>
      <c r="M107" s="109">
        <v>77.55</v>
      </c>
      <c r="N107" s="109">
        <v>0</v>
      </c>
      <c r="O107" s="268">
        <v>22.55</v>
      </c>
      <c r="P107" s="268">
        <v>55</v>
      </c>
      <c r="Q107" s="278"/>
      <c r="R107" s="111" t="s">
        <v>107</v>
      </c>
      <c r="S107" s="111"/>
      <c r="T107" s="281"/>
      <c r="U107" s="280">
        <f t="shared" si="4"/>
        <v>0</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row>
    <row r="108" s="230" customFormat="1" ht="72" spans="1:248">
      <c r="A108" s="249" t="s">
        <v>494</v>
      </c>
      <c r="B108" s="251" t="s">
        <v>495</v>
      </c>
      <c r="C108" s="251" t="s">
        <v>24</v>
      </c>
      <c r="D108" s="252" t="s">
        <v>58</v>
      </c>
      <c r="E108" s="253" t="s">
        <v>496</v>
      </c>
      <c r="F108" s="250">
        <v>2897.38</v>
      </c>
      <c r="G108" s="253" t="s">
        <v>127</v>
      </c>
      <c r="H108" s="251" t="s">
        <v>53</v>
      </c>
      <c r="I108" s="251" t="s">
        <v>497</v>
      </c>
      <c r="J108" s="89">
        <v>2897.38</v>
      </c>
      <c r="K108" s="89">
        <v>0</v>
      </c>
      <c r="L108" s="250">
        <f t="shared" si="3"/>
        <v>70</v>
      </c>
      <c r="M108" s="89">
        <v>70</v>
      </c>
      <c r="N108" s="89">
        <v>0</v>
      </c>
      <c r="O108" s="268">
        <v>10</v>
      </c>
      <c r="P108" s="268">
        <v>60</v>
      </c>
      <c r="Q108" s="278"/>
      <c r="R108" s="111" t="s">
        <v>62</v>
      </c>
      <c r="S108" s="111"/>
      <c r="T108" s="281"/>
      <c r="U108" s="280">
        <f t="shared" si="4"/>
        <v>0</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c r="IB108" s="28"/>
      <c r="IC108" s="28"/>
      <c r="ID108" s="28"/>
      <c r="IE108" s="28"/>
      <c r="IF108" s="28"/>
      <c r="IG108" s="28"/>
      <c r="IH108" s="28"/>
      <c r="II108" s="28"/>
      <c r="IJ108" s="28"/>
      <c r="IK108" s="28"/>
      <c r="IL108" s="28"/>
      <c r="IM108" s="28"/>
      <c r="IN108" s="28"/>
    </row>
    <row r="109" s="230" customFormat="1" ht="69" customHeight="1" spans="1:248">
      <c r="A109" s="249" t="s">
        <v>498</v>
      </c>
      <c r="B109" s="73" t="s">
        <v>499</v>
      </c>
      <c r="C109" s="58" t="s">
        <v>24</v>
      </c>
      <c r="D109" s="252" t="s">
        <v>58</v>
      </c>
      <c r="E109" s="75" t="s">
        <v>500</v>
      </c>
      <c r="F109" s="250">
        <v>438.59</v>
      </c>
      <c r="G109" s="89" t="s">
        <v>117</v>
      </c>
      <c r="H109" s="251" t="s">
        <v>53</v>
      </c>
      <c r="I109" s="73" t="s">
        <v>501</v>
      </c>
      <c r="J109" s="109">
        <v>438.59</v>
      </c>
      <c r="K109" s="109">
        <v>0</v>
      </c>
      <c r="L109" s="250">
        <f t="shared" si="3"/>
        <v>65.58</v>
      </c>
      <c r="M109" s="109">
        <f>J109-373.01</f>
        <v>65.58</v>
      </c>
      <c r="N109" s="109">
        <v>0</v>
      </c>
      <c r="O109" s="268">
        <v>65.58</v>
      </c>
      <c r="P109" s="268">
        <v>0</v>
      </c>
      <c r="Q109" s="278"/>
      <c r="R109" s="111" t="s">
        <v>95</v>
      </c>
      <c r="S109" s="111"/>
      <c r="T109" s="281"/>
      <c r="U109" s="280">
        <f t="shared" si="4"/>
        <v>0</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row>
    <row r="110" s="230" customFormat="1" ht="72" spans="1:248">
      <c r="A110" s="249" t="s">
        <v>502</v>
      </c>
      <c r="B110" s="251" t="s">
        <v>503</v>
      </c>
      <c r="C110" s="251" t="s">
        <v>24</v>
      </c>
      <c r="D110" s="252" t="s">
        <v>58</v>
      </c>
      <c r="E110" s="253" t="s">
        <v>504</v>
      </c>
      <c r="F110" s="250">
        <v>281.63</v>
      </c>
      <c r="G110" s="253" t="s">
        <v>347</v>
      </c>
      <c r="H110" s="251" t="s">
        <v>53</v>
      </c>
      <c r="I110" s="251" t="s">
        <v>505</v>
      </c>
      <c r="J110" s="89">
        <v>281.63</v>
      </c>
      <c r="K110" s="89">
        <v>0</v>
      </c>
      <c r="L110" s="250">
        <f t="shared" si="3"/>
        <v>65</v>
      </c>
      <c r="M110" s="89">
        <v>65</v>
      </c>
      <c r="N110" s="89">
        <v>0</v>
      </c>
      <c r="O110" s="268">
        <v>5</v>
      </c>
      <c r="P110" s="268">
        <v>60</v>
      </c>
      <c r="Q110" s="278"/>
      <c r="R110" s="111" t="s">
        <v>107</v>
      </c>
      <c r="S110" s="111"/>
      <c r="T110" s="281"/>
      <c r="U110" s="280">
        <f t="shared" si="4"/>
        <v>0</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row>
    <row r="111" s="230" customFormat="1" ht="72" spans="1:248">
      <c r="A111" s="249" t="s">
        <v>506</v>
      </c>
      <c r="B111" s="58" t="s">
        <v>507</v>
      </c>
      <c r="C111" s="73" t="s">
        <v>24</v>
      </c>
      <c r="D111" s="252" t="s">
        <v>58</v>
      </c>
      <c r="E111" s="75" t="s">
        <v>508</v>
      </c>
      <c r="F111" s="250">
        <v>455.18</v>
      </c>
      <c r="G111" s="89" t="s">
        <v>147</v>
      </c>
      <c r="H111" s="251" t="s">
        <v>53</v>
      </c>
      <c r="I111" s="73" t="s">
        <v>509</v>
      </c>
      <c r="J111" s="109">
        <v>455.18</v>
      </c>
      <c r="K111" s="109">
        <v>0</v>
      </c>
      <c r="L111" s="250">
        <f t="shared" si="3"/>
        <v>65</v>
      </c>
      <c r="M111" s="109">
        <v>65</v>
      </c>
      <c r="N111" s="109">
        <v>0</v>
      </c>
      <c r="O111" s="268">
        <v>65</v>
      </c>
      <c r="P111" s="268">
        <v>0</v>
      </c>
      <c r="Q111" s="278"/>
      <c r="R111" s="111" t="s">
        <v>107</v>
      </c>
      <c r="S111" s="111"/>
      <c r="T111" s="281"/>
      <c r="U111" s="280">
        <f t="shared" si="4"/>
        <v>0</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row>
    <row r="112" s="230" customFormat="1" ht="43.2" spans="1:248">
      <c r="A112" s="249" t="s">
        <v>510</v>
      </c>
      <c r="B112" s="251" t="s">
        <v>511</v>
      </c>
      <c r="C112" s="251" t="s">
        <v>24</v>
      </c>
      <c r="D112" s="252" t="s">
        <v>58</v>
      </c>
      <c r="E112" s="253" t="s">
        <v>512</v>
      </c>
      <c r="F112" s="250">
        <v>320</v>
      </c>
      <c r="G112" s="253" t="s">
        <v>513</v>
      </c>
      <c r="H112" s="251" t="s">
        <v>53</v>
      </c>
      <c r="I112" s="251" t="s">
        <v>514</v>
      </c>
      <c r="J112" s="270">
        <v>320</v>
      </c>
      <c r="K112" s="89">
        <v>0</v>
      </c>
      <c r="L112" s="250">
        <f t="shared" si="3"/>
        <v>64</v>
      </c>
      <c r="M112" s="109">
        <v>64</v>
      </c>
      <c r="N112" s="89">
        <v>0</v>
      </c>
      <c r="O112" s="268">
        <v>0</v>
      </c>
      <c r="P112" s="268">
        <v>64</v>
      </c>
      <c r="Q112" s="278"/>
      <c r="R112" s="111" t="s">
        <v>107</v>
      </c>
      <c r="S112" s="111"/>
      <c r="T112" s="281"/>
      <c r="U112" s="280">
        <f t="shared" si="4"/>
        <v>0</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row>
    <row r="113" s="230" customFormat="1" ht="62" customHeight="1" spans="1:248">
      <c r="A113" s="249" t="s">
        <v>515</v>
      </c>
      <c r="B113" s="73" t="s">
        <v>516</v>
      </c>
      <c r="C113" s="58" t="s">
        <v>24</v>
      </c>
      <c r="D113" s="252" t="s">
        <v>58</v>
      </c>
      <c r="E113" s="75" t="s">
        <v>517</v>
      </c>
      <c r="F113" s="250">
        <v>800</v>
      </c>
      <c r="G113" s="89" t="s">
        <v>117</v>
      </c>
      <c r="H113" s="251" t="s">
        <v>53</v>
      </c>
      <c r="I113" s="73" t="s">
        <v>518</v>
      </c>
      <c r="J113" s="109">
        <v>800</v>
      </c>
      <c r="K113" s="109">
        <v>0</v>
      </c>
      <c r="L113" s="250">
        <f t="shared" si="3"/>
        <v>60</v>
      </c>
      <c r="M113" s="109">
        <v>60</v>
      </c>
      <c r="N113" s="109">
        <v>0</v>
      </c>
      <c r="O113" s="268">
        <v>60</v>
      </c>
      <c r="P113" s="268">
        <v>0</v>
      </c>
      <c r="Q113" s="278"/>
      <c r="R113" s="111" t="s">
        <v>95</v>
      </c>
      <c r="S113" s="111"/>
      <c r="T113" s="281"/>
      <c r="U113" s="280">
        <f t="shared" si="4"/>
        <v>0</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row>
    <row r="114" s="230" customFormat="1" ht="52" customHeight="1" spans="1:248">
      <c r="A114" s="249" t="s">
        <v>519</v>
      </c>
      <c r="B114" s="58" t="s">
        <v>520</v>
      </c>
      <c r="C114" s="58" t="s">
        <v>24</v>
      </c>
      <c r="D114" s="58" t="s">
        <v>209</v>
      </c>
      <c r="E114" s="71" t="s">
        <v>521</v>
      </c>
      <c r="F114" s="250">
        <v>315.06</v>
      </c>
      <c r="G114" s="212" t="s">
        <v>112</v>
      </c>
      <c r="H114" s="212" t="s">
        <v>53</v>
      </c>
      <c r="I114" s="212" t="s">
        <v>522</v>
      </c>
      <c r="J114" s="89">
        <v>315.06</v>
      </c>
      <c r="K114" s="89">
        <v>0</v>
      </c>
      <c r="L114" s="250">
        <f t="shared" si="3"/>
        <v>59.42</v>
      </c>
      <c r="M114" s="89">
        <v>59.42</v>
      </c>
      <c r="N114" s="89">
        <v>0</v>
      </c>
      <c r="O114" s="268">
        <v>59.42</v>
      </c>
      <c r="P114" s="268">
        <v>0</v>
      </c>
      <c r="Q114" s="288"/>
      <c r="R114" s="289" t="s">
        <v>95</v>
      </c>
      <c r="S114" s="111"/>
      <c r="T114" s="281"/>
      <c r="U114" s="280">
        <f t="shared" si="4"/>
        <v>0</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row>
    <row r="115" s="230" customFormat="1" ht="43.2" spans="1:248">
      <c r="A115" s="249" t="s">
        <v>523</v>
      </c>
      <c r="B115" s="251" t="s">
        <v>524</v>
      </c>
      <c r="C115" s="251" t="s">
        <v>24</v>
      </c>
      <c r="D115" s="252" t="s">
        <v>58</v>
      </c>
      <c r="E115" s="253" t="s">
        <v>525</v>
      </c>
      <c r="F115" s="250">
        <v>151.94</v>
      </c>
      <c r="G115" s="253" t="s">
        <v>476</v>
      </c>
      <c r="H115" s="251" t="s">
        <v>53</v>
      </c>
      <c r="I115" s="251" t="s">
        <v>526</v>
      </c>
      <c r="J115" s="270">
        <v>151.94</v>
      </c>
      <c r="K115" s="89">
        <v>0</v>
      </c>
      <c r="L115" s="250">
        <f t="shared" si="3"/>
        <v>57</v>
      </c>
      <c r="M115" s="109">
        <v>57</v>
      </c>
      <c r="N115" s="89">
        <v>0</v>
      </c>
      <c r="O115" s="268">
        <v>0</v>
      </c>
      <c r="P115" s="268">
        <v>57</v>
      </c>
      <c r="Q115" s="278"/>
      <c r="R115" s="111" t="s">
        <v>107</v>
      </c>
      <c r="S115" s="111"/>
      <c r="T115" s="281"/>
      <c r="U115" s="280">
        <f t="shared" si="4"/>
        <v>0</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row>
    <row r="116" s="230" customFormat="1" ht="43.2" spans="1:248">
      <c r="A116" s="249" t="s">
        <v>527</v>
      </c>
      <c r="B116" s="58" t="s">
        <v>528</v>
      </c>
      <c r="C116" s="58" t="s">
        <v>24</v>
      </c>
      <c r="D116" s="252" t="s">
        <v>58</v>
      </c>
      <c r="E116" s="71" t="s">
        <v>529</v>
      </c>
      <c r="F116" s="250">
        <v>408.38</v>
      </c>
      <c r="G116" s="58" t="s">
        <v>147</v>
      </c>
      <c r="H116" s="58" t="s">
        <v>53</v>
      </c>
      <c r="I116" s="89" t="s">
        <v>530</v>
      </c>
      <c r="J116" s="89">
        <v>408.38</v>
      </c>
      <c r="K116" s="185">
        <v>0</v>
      </c>
      <c r="L116" s="250">
        <f t="shared" si="3"/>
        <v>56</v>
      </c>
      <c r="M116" s="185">
        <v>56</v>
      </c>
      <c r="N116" s="185">
        <v>0</v>
      </c>
      <c r="O116" s="268">
        <v>10</v>
      </c>
      <c r="P116" s="268">
        <v>46</v>
      </c>
      <c r="Q116" s="278"/>
      <c r="R116" s="111" t="s">
        <v>107</v>
      </c>
      <c r="S116" s="111"/>
      <c r="T116" s="281"/>
      <c r="U116" s="280">
        <f t="shared" si="4"/>
        <v>0</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row>
    <row r="117" s="230" customFormat="1" ht="43.2" spans="1:248">
      <c r="A117" s="249" t="s">
        <v>531</v>
      </c>
      <c r="B117" s="58" t="s">
        <v>532</v>
      </c>
      <c r="C117" s="58" t="s">
        <v>24</v>
      </c>
      <c r="D117" s="58" t="s">
        <v>209</v>
      </c>
      <c r="E117" s="71" t="s">
        <v>533</v>
      </c>
      <c r="F117" s="250">
        <v>443.79</v>
      </c>
      <c r="G117" s="212" t="s">
        <v>60</v>
      </c>
      <c r="H117" s="212" t="s">
        <v>53</v>
      </c>
      <c r="I117" s="212" t="s">
        <v>534</v>
      </c>
      <c r="J117" s="89">
        <v>443.79</v>
      </c>
      <c r="K117" s="89">
        <v>0</v>
      </c>
      <c r="L117" s="250">
        <f t="shared" si="3"/>
        <v>54.52</v>
      </c>
      <c r="M117" s="89">
        <v>54.52</v>
      </c>
      <c r="N117" s="89">
        <v>0</v>
      </c>
      <c r="O117" s="268">
        <v>54.52</v>
      </c>
      <c r="P117" s="268">
        <v>0</v>
      </c>
      <c r="Q117" s="288"/>
      <c r="R117" s="289" t="s">
        <v>378</v>
      </c>
      <c r="S117" s="111"/>
      <c r="T117" s="281"/>
      <c r="U117" s="280">
        <f t="shared" si="4"/>
        <v>0</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row>
    <row r="118" s="230" customFormat="1" ht="82" customHeight="1" spans="1:248">
      <c r="A118" s="249" t="s">
        <v>535</v>
      </c>
      <c r="B118" s="58" t="s">
        <v>536</v>
      </c>
      <c r="C118" s="58" t="s">
        <v>24</v>
      </c>
      <c r="D118" s="252" t="s">
        <v>58</v>
      </c>
      <c r="E118" s="253" t="s">
        <v>537</v>
      </c>
      <c r="F118" s="250">
        <v>400.84</v>
      </c>
      <c r="G118" s="73" t="s">
        <v>242</v>
      </c>
      <c r="H118" s="73" t="s">
        <v>53</v>
      </c>
      <c r="I118" s="73" t="s">
        <v>538</v>
      </c>
      <c r="J118" s="109">
        <v>400.84</v>
      </c>
      <c r="K118" s="89">
        <v>0</v>
      </c>
      <c r="L118" s="250">
        <f t="shared" si="3"/>
        <v>51.23</v>
      </c>
      <c r="M118" s="109">
        <v>51.23</v>
      </c>
      <c r="N118" s="109">
        <v>0</v>
      </c>
      <c r="O118" s="268">
        <v>51.23</v>
      </c>
      <c r="P118" s="268">
        <v>0</v>
      </c>
      <c r="Q118" s="278"/>
      <c r="R118" s="111" t="s">
        <v>107</v>
      </c>
      <c r="S118" s="111"/>
      <c r="T118" s="281"/>
      <c r="U118" s="280">
        <f t="shared" si="4"/>
        <v>0</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row>
    <row r="119" s="230" customFormat="1" ht="67" customHeight="1" spans="1:248">
      <c r="A119" s="249" t="s">
        <v>539</v>
      </c>
      <c r="B119" s="58" t="s">
        <v>540</v>
      </c>
      <c r="C119" s="58" t="s">
        <v>24</v>
      </c>
      <c r="D119" s="58" t="s">
        <v>209</v>
      </c>
      <c r="E119" s="71" t="s">
        <v>541</v>
      </c>
      <c r="F119" s="250">
        <v>314.76</v>
      </c>
      <c r="G119" s="212" t="s">
        <v>73</v>
      </c>
      <c r="H119" s="212" t="s">
        <v>53</v>
      </c>
      <c r="I119" s="212" t="s">
        <v>542</v>
      </c>
      <c r="J119" s="89">
        <v>314.76</v>
      </c>
      <c r="K119" s="89">
        <v>0</v>
      </c>
      <c r="L119" s="250">
        <f t="shared" si="3"/>
        <v>50</v>
      </c>
      <c r="M119" s="89">
        <v>50</v>
      </c>
      <c r="N119" s="89">
        <v>0</v>
      </c>
      <c r="O119" s="268">
        <v>50</v>
      </c>
      <c r="P119" s="268">
        <v>0</v>
      </c>
      <c r="Q119" s="290"/>
      <c r="R119" s="291" t="s">
        <v>107</v>
      </c>
      <c r="S119" s="111"/>
      <c r="T119" s="281"/>
      <c r="U119" s="280">
        <f t="shared" si="4"/>
        <v>0</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row>
    <row r="120" s="230" customFormat="1" ht="43.2" spans="1:248">
      <c r="A120" s="249" t="s">
        <v>543</v>
      </c>
      <c r="B120" s="58" t="s">
        <v>544</v>
      </c>
      <c r="C120" s="58" t="s">
        <v>24</v>
      </c>
      <c r="D120" s="58" t="s">
        <v>209</v>
      </c>
      <c r="E120" s="71" t="s">
        <v>545</v>
      </c>
      <c r="F120" s="250">
        <v>309.29</v>
      </c>
      <c r="G120" s="212" t="s">
        <v>73</v>
      </c>
      <c r="H120" s="212" t="s">
        <v>53</v>
      </c>
      <c r="I120" s="212" t="s">
        <v>546</v>
      </c>
      <c r="J120" s="89">
        <v>309.29</v>
      </c>
      <c r="K120" s="89">
        <v>0</v>
      </c>
      <c r="L120" s="250">
        <f t="shared" si="3"/>
        <v>50</v>
      </c>
      <c r="M120" s="89">
        <v>50</v>
      </c>
      <c r="N120" s="89">
        <v>0</v>
      </c>
      <c r="O120" s="268">
        <v>50</v>
      </c>
      <c r="P120" s="268">
        <v>0</v>
      </c>
      <c r="Q120" s="290"/>
      <c r="R120" s="291" t="s">
        <v>107</v>
      </c>
      <c r="S120" s="111"/>
      <c r="T120" s="281"/>
      <c r="U120" s="280">
        <f t="shared" si="4"/>
        <v>0</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row>
    <row r="121" s="230" customFormat="1" ht="43.2" spans="1:248">
      <c r="A121" s="249" t="s">
        <v>547</v>
      </c>
      <c r="B121" s="251" t="s">
        <v>548</v>
      </c>
      <c r="C121" s="251" t="s">
        <v>24</v>
      </c>
      <c r="D121" s="252" t="s">
        <v>58</v>
      </c>
      <c r="E121" s="253" t="s">
        <v>549</v>
      </c>
      <c r="F121" s="250">
        <v>477.89</v>
      </c>
      <c r="G121" s="253" t="s">
        <v>550</v>
      </c>
      <c r="H121" s="251" t="s">
        <v>53</v>
      </c>
      <c r="I121" s="251" t="s">
        <v>551</v>
      </c>
      <c r="J121" s="89">
        <v>477.89</v>
      </c>
      <c r="K121" s="89">
        <v>0</v>
      </c>
      <c r="L121" s="250">
        <f t="shared" si="3"/>
        <v>50</v>
      </c>
      <c r="M121" s="89">
        <v>50</v>
      </c>
      <c r="N121" s="89">
        <v>0</v>
      </c>
      <c r="O121" s="268">
        <v>10</v>
      </c>
      <c r="P121" s="268">
        <v>40</v>
      </c>
      <c r="Q121" s="278"/>
      <c r="R121" s="111" t="s">
        <v>62</v>
      </c>
      <c r="S121" s="111"/>
      <c r="T121" s="281"/>
      <c r="U121" s="280">
        <f t="shared" si="4"/>
        <v>0</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c r="HM121" s="28"/>
      <c r="HN121" s="28"/>
      <c r="HO121" s="28"/>
      <c r="HP121" s="28"/>
      <c r="HQ121" s="28"/>
      <c r="HR121" s="28"/>
      <c r="HS121" s="28"/>
      <c r="HT121" s="28"/>
      <c r="HU121" s="28"/>
      <c r="HV121" s="28"/>
      <c r="HW121" s="28"/>
      <c r="HX121" s="28"/>
      <c r="HY121" s="28"/>
      <c r="HZ121" s="28"/>
      <c r="IA121" s="28"/>
      <c r="IB121" s="28"/>
      <c r="IC121" s="28"/>
      <c r="ID121" s="28"/>
      <c r="IE121" s="28"/>
      <c r="IF121" s="28"/>
      <c r="IG121" s="28"/>
      <c r="IH121" s="28"/>
      <c r="II121" s="28"/>
      <c r="IJ121" s="28"/>
      <c r="IK121" s="28"/>
      <c r="IL121" s="28"/>
      <c r="IM121" s="28"/>
      <c r="IN121" s="28"/>
    </row>
    <row r="122" s="230" customFormat="1" ht="43.2" spans="1:248">
      <c r="A122" s="249" t="s">
        <v>552</v>
      </c>
      <c r="B122" s="251" t="s">
        <v>553</v>
      </c>
      <c r="C122" s="251" t="s">
        <v>24</v>
      </c>
      <c r="D122" s="252" t="s">
        <v>58</v>
      </c>
      <c r="E122" s="253" t="s">
        <v>554</v>
      </c>
      <c r="F122" s="250">
        <v>424.72</v>
      </c>
      <c r="G122" s="253" t="s">
        <v>78</v>
      </c>
      <c r="H122" s="251" t="s">
        <v>53</v>
      </c>
      <c r="I122" s="251" t="s">
        <v>555</v>
      </c>
      <c r="J122" s="89">
        <v>424.72</v>
      </c>
      <c r="K122" s="89">
        <v>0</v>
      </c>
      <c r="L122" s="250">
        <f t="shared" si="3"/>
        <v>50</v>
      </c>
      <c r="M122" s="89">
        <v>50</v>
      </c>
      <c r="N122" s="89">
        <v>0</v>
      </c>
      <c r="O122" s="268">
        <v>50</v>
      </c>
      <c r="P122" s="268">
        <v>0</v>
      </c>
      <c r="Q122" s="278"/>
      <c r="R122" s="111" t="s">
        <v>88</v>
      </c>
      <c r="S122" s="111"/>
      <c r="T122" s="281"/>
      <c r="U122" s="280">
        <f t="shared" si="4"/>
        <v>0</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c r="HM122" s="28"/>
      <c r="HN122" s="28"/>
      <c r="HO122" s="28"/>
      <c r="HP122" s="28"/>
      <c r="HQ122" s="28"/>
      <c r="HR122" s="28"/>
      <c r="HS122" s="28"/>
      <c r="HT122" s="28"/>
      <c r="HU122" s="28"/>
      <c r="HV122" s="28"/>
      <c r="HW122" s="28"/>
      <c r="HX122" s="28"/>
      <c r="HY122" s="28"/>
      <c r="HZ122" s="28"/>
      <c r="IA122" s="28"/>
      <c r="IB122" s="28"/>
      <c r="IC122" s="28"/>
      <c r="ID122" s="28"/>
      <c r="IE122" s="28"/>
      <c r="IF122" s="28"/>
      <c r="IG122" s="28"/>
      <c r="IH122" s="28"/>
      <c r="II122" s="28"/>
      <c r="IJ122" s="28"/>
      <c r="IK122" s="28"/>
      <c r="IL122" s="28"/>
      <c r="IM122" s="28"/>
      <c r="IN122" s="28"/>
    </row>
    <row r="123" s="230" customFormat="1" ht="43.2" spans="1:248">
      <c r="A123" s="249" t="s">
        <v>556</v>
      </c>
      <c r="B123" s="251" t="s">
        <v>557</v>
      </c>
      <c r="C123" s="251" t="s">
        <v>24</v>
      </c>
      <c r="D123" s="252" t="s">
        <v>58</v>
      </c>
      <c r="E123" s="253" t="s">
        <v>558</v>
      </c>
      <c r="F123" s="250">
        <v>378</v>
      </c>
      <c r="G123" s="253" t="s">
        <v>251</v>
      </c>
      <c r="H123" s="251" t="s">
        <v>53</v>
      </c>
      <c r="I123" s="251" t="s">
        <v>559</v>
      </c>
      <c r="J123" s="270">
        <v>378</v>
      </c>
      <c r="K123" s="89">
        <v>0</v>
      </c>
      <c r="L123" s="250">
        <f t="shared" si="3"/>
        <v>50</v>
      </c>
      <c r="M123" s="109">
        <v>50</v>
      </c>
      <c r="N123" s="89">
        <v>0</v>
      </c>
      <c r="O123" s="268">
        <v>10</v>
      </c>
      <c r="P123" s="268">
        <v>40</v>
      </c>
      <c r="Q123" s="278"/>
      <c r="R123" s="111" t="s">
        <v>107</v>
      </c>
      <c r="S123" s="111"/>
      <c r="T123" s="281"/>
      <c r="U123" s="280">
        <f t="shared" si="4"/>
        <v>0</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c r="GF123" s="28"/>
      <c r="GG123" s="28"/>
      <c r="GH123" s="28"/>
      <c r="GI123" s="28"/>
      <c r="GJ123" s="28"/>
      <c r="GK123" s="28"/>
      <c r="GL123" s="28"/>
      <c r="GM123" s="28"/>
      <c r="GN123" s="28"/>
      <c r="GO123" s="28"/>
      <c r="GP123" s="28"/>
      <c r="GQ123" s="28"/>
      <c r="GR123" s="28"/>
      <c r="GS123" s="28"/>
      <c r="GT123" s="28"/>
      <c r="GU123" s="28"/>
      <c r="GV123" s="28"/>
      <c r="GW123" s="28"/>
      <c r="GX123" s="28"/>
      <c r="GY123" s="28"/>
      <c r="GZ123" s="28"/>
      <c r="HA123" s="28"/>
      <c r="HB123" s="28"/>
      <c r="HC123" s="28"/>
      <c r="HD123" s="28"/>
      <c r="HE123" s="28"/>
      <c r="HF123" s="28"/>
      <c r="HG123" s="28"/>
      <c r="HH123" s="28"/>
      <c r="HI123" s="28"/>
      <c r="HJ123" s="28"/>
      <c r="HK123" s="28"/>
      <c r="HL123" s="28"/>
      <c r="HM123" s="28"/>
      <c r="HN123" s="28"/>
      <c r="HO123" s="28"/>
      <c r="HP123" s="28"/>
      <c r="HQ123" s="28"/>
      <c r="HR123" s="28"/>
      <c r="HS123" s="28"/>
      <c r="HT123" s="28"/>
      <c r="HU123" s="28"/>
      <c r="HV123" s="28"/>
      <c r="HW123" s="28"/>
      <c r="HX123" s="28"/>
      <c r="HY123" s="28"/>
      <c r="HZ123" s="28"/>
      <c r="IA123" s="28"/>
      <c r="IB123" s="28"/>
      <c r="IC123" s="28"/>
      <c r="ID123" s="28"/>
      <c r="IE123" s="28"/>
      <c r="IF123" s="28"/>
      <c r="IG123" s="28"/>
      <c r="IH123" s="28"/>
      <c r="II123" s="28"/>
      <c r="IJ123" s="28"/>
      <c r="IK123" s="28"/>
      <c r="IL123" s="28"/>
      <c r="IM123" s="28"/>
      <c r="IN123" s="28"/>
    </row>
    <row r="124" s="230" customFormat="1" ht="43.2" spans="1:248">
      <c r="A124" s="249" t="s">
        <v>560</v>
      </c>
      <c r="B124" s="251" t="s">
        <v>561</v>
      </c>
      <c r="C124" s="251" t="s">
        <v>24</v>
      </c>
      <c r="D124" s="252" t="s">
        <v>58</v>
      </c>
      <c r="E124" s="253" t="s">
        <v>562</v>
      </c>
      <c r="F124" s="250">
        <v>58.6</v>
      </c>
      <c r="G124" s="253" t="s">
        <v>60</v>
      </c>
      <c r="H124" s="251" t="s">
        <v>53</v>
      </c>
      <c r="I124" s="251" t="s">
        <v>563</v>
      </c>
      <c r="J124" s="89">
        <v>58.6</v>
      </c>
      <c r="K124" s="89">
        <v>0</v>
      </c>
      <c r="L124" s="250">
        <f t="shared" si="3"/>
        <v>48</v>
      </c>
      <c r="M124" s="109">
        <v>48</v>
      </c>
      <c r="N124" s="89">
        <v>0</v>
      </c>
      <c r="O124" s="268">
        <v>0</v>
      </c>
      <c r="P124" s="268">
        <v>48</v>
      </c>
      <c r="Q124" s="278"/>
      <c r="R124" s="111" t="s">
        <v>107</v>
      </c>
      <c r="S124" s="111"/>
      <c r="T124" s="281"/>
      <c r="U124" s="280">
        <f t="shared" si="4"/>
        <v>0</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c r="IB124" s="28"/>
      <c r="IC124" s="28"/>
      <c r="ID124" s="28"/>
      <c r="IE124" s="28"/>
      <c r="IF124" s="28"/>
      <c r="IG124" s="28"/>
      <c r="IH124" s="28"/>
      <c r="II124" s="28"/>
      <c r="IJ124" s="28"/>
      <c r="IK124" s="28"/>
      <c r="IL124" s="28"/>
      <c r="IM124" s="28"/>
      <c r="IN124" s="28"/>
    </row>
    <row r="125" s="230" customFormat="1" ht="43.2" spans="1:248">
      <c r="A125" s="249" t="s">
        <v>564</v>
      </c>
      <c r="B125" s="58" t="s">
        <v>565</v>
      </c>
      <c r="C125" s="58" t="s">
        <v>24</v>
      </c>
      <c r="D125" s="58" t="s">
        <v>209</v>
      </c>
      <c r="E125" s="71" t="s">
        <v>566</v>
      </c>
      <c r="F125" s="250">
        <v>350.74</v>
      </c>
      <c r="G125" s="292">
        <v>2016</v>
      </c>
      <c r="H125" s="212" t="s">
        <v>53</v>
      </c>
      <c r="I125" s="212" t="s">
        <v>567</v>
      </c>
      <c r="J125" s="89">
        <v>350.74</v>
      </c>
      <c r="K125" s="89">
        <v>0</v>
      </c>
      <c r="L125" s="250">
        <f t="shared" si="3"/>
        <v>47.5</v>
      </c>
      <c r="M125" s="89">
        <v>47.5</v>
      </c>
      <c r="N125" s="89">
        <v>0</v>
      </c>
      <c r="O125" s="268">
        <v>47.5</v>
      </c>
      <c r="P125" s="268">
        <v>0</v>
      </c>
      <c r="Q125" s="290"/>
      <c r="R125" s="291" t="s">
        <v>107</v>
      </c>
      <c r="S125" s="111"/>
      <c r="T125" s="281"/>
      <c r="U125" s="280">
        <f t="shared" si="4"/>
        <v>0</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c r="GG125" s="28"/>
      <c r="GH125" s="28"/>
      <c r="GI125" s="28"/>
      <c r="GJ125" s="28"/>
      <c r="GK125" s="28"/>
      <c r="GL125" s="28"/>
      <c r="GM125" s="28"/>
      <c r="GN125" s="28"/>
      <c r="GO125" s="28"/>
      <c r="GP125" s="28"/>
      <c r="GQ125" s="28"/>
      <c r="GR125" s="28"/>
      <c r="GS125" s="28"/>
      <c r="GT125" s="28"/>
      <c r="GU125" s="28"/>
      <c r="GV125" s="28"/>
      <c r="GW125" s="28"/>
      <c r="GX125" s="28"/>
      <c r="GY125" s="28"/>
      <c r="GZ125" s="28"/>
      <c r="HA125" s="28"/>
      <c r="HB125" s="28"/>
      <c r="HC125" s="28"/>
      <c r="HD125" s="28"/>
      <c r="HE125" s="28"/>
      <c r="HF125" s="28"/>
      <c r="HG125" s="28"/>
      <c r="HH125" s="28"/>
      <c r="HI125" s="28"/>
      <c r="HJ125" s="28"/>
      <c r="HK125" s="28"/>
      <c r="HL125" s="28"/>
      <c r="HM125" s="28"/>
      <c r="HN125" s="28"/>
      <c r="HO125" s="28"/>
      <c r="HP125" s="28"/>
      <c r="HQ125" s="28"/>
      <c r="HR125" s="28"/>
      <c r="HS125" s="28"/>
      <c r="HT125" s="28"/>
      <c r="HU125" s="28"/>
      <c r="HV125" s="28"/>
      <c r="HW125" s="28"/>
      <c r="HX125" s="28"/>
      <c r="HY125" s="28"/>
      <c r="HZ125" s="28"/>
      <c r="IA125" s="28"/>
      <c r="IB125" s="28"/>
      <c r="IC125" s="28"/>
      <c r="ID125" s="28"/>
      <c r="IE125" s="28"/>
      <c r="IF125" s="28"/>
      <c r="IG125" s="28"/>
      <c r="IH125" s="28"/>
      <c r="II125" s="28"/>
      <c r="IJ125" s="28"/>
      <c r="IK125" s="28"/>
      <c r="IL125" s="28"/>
      <c r="IM125" s="28"/>
      <c r="IN125" s="28"/>
    </row>
    <row r="126" s="230" customFormat="1" ht="48" customHeight="1" spans="1:248">
      <c r="A126" s="249" t="s">
        <v>568</v>
      </c>
      <c r="B126" s="251" t="s">
        <v>569</v>
      </c>
      <c r="C126" s="251" t="s">
        <v>24</v>
      </c>
      <c r="D126" s="252" t="s">
        <v>58</v>
      </c>
      <c r="E126" s="253" t="s">
        <v>570</v>
      </c>
      <c r="F126" s="250">
        <v>469.22</v>
      </c>
      <c r="G126" s="253" t="s">
        <v>550</v>
      </c>
      <c r="H126" s="251" t="s">
        <v>53</v>
      </c>
      <c r="I126" s="251" t="s">
        <v>571</v>
      </c>
      <c r="J126" s="89">
        <v>469.22</v>
      </c>
      <c r="K126" s="89">
        <v>0</v>
      </c>
      <c r="L126" s="250">
        <f t="shared" si="3"/>
        <v>45</v>
      </c>
      <c r="M126" s="89">
        <v>45</v>
      </c>
      <c r="N126" s="89">
        <v>0</v>
      </c>
      <c r="O126" s="268">
        <v>10</v>
      </c>
      <c r="P126" s="268">
        <v>35</v>
      </c>
      <c r="Q126" s="278"/>
      <c r="R126" s="111" t="s">
        <v>62</v>
      </c>
      <c r="S126" s="111"/>
      <c r="T126" s="281"/>
      <c r="U126" s="280">
        <f t="shared" si="4"/>
        <v>0</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8"/>
      <c r="GG126" s="28"/>
      <c r="GH126" s="28"/>
      <c r="GI126" s="28"/>
      <c r="GJ126" s="28"/>
      <c r="GK126" s="28"/>
      <c r="GL126" s="28"/>
      <c r="GM126" s="28"/>
      <c r="GN126" s="28"/>
      <c r="GO126" s="28"/>
      <c r="GP126" s="28"/>
      <c r="GQ126" s="28"/>
      <c r="GR126" s="28"/>
      <c r="GS126" s="28"/>
      <c r="GT126" s="28"/>
      <c r="GU126" s="28"/>
      <c r="GV126" s="28"/>
      <c r="GW126" s="28"/>
      <c r="GX126" s="28"/>
      <c r="GY126" s="28"/>
      <c r="GZ126" s="28"/>
      <c r="HA126" s="28"/>
      <c r="HB126" s="28"/>
      <c r="HC126" s="28"/>
      <c r="HD126" s="28"/>
      <c r="HE126" s="28"/>
      <c r="HF126" s="28"/>
      <c r="HG126" s="28"/>
      <c r="HH126" s="28"/>
      <c r="HI126" s="28"/>
      <c r="HJ126" s="28"/>
      <c r="HK126" s="28"/>
      <c r="HL126" s="28"/>
      <c r="HM126" s="28"/>
      <c r="HN126" s="28"/>
      <c r="HO126" s="28"/>
      <c r="HP126" s="28"/>
      <c r="HQ126" s="28"/>
      <c r="HR126" s="28"/>
      <c r="HS126" s="28"/>
      <c r="HT126" s="28"/>
      <c r="HU126" s="28"/>
      <c r="HV126" s="28"/>
      <c r="HW126" s="28"/>
      <c r="HX126" s="28"/>
      <c r="HY126" s="28"/>
      <c r="HZ126" s="28"/>
      <c r="IA126" s="28"/>
      <c r="IB126" s="28"/>
      <c r="IC126" s="28"/>
      <c r="ID126" s="28"/>
      <c r="IE126" s="28"/>
      <c r="IF126" s="28"/>
      <c r="IG126" s="28"/>
      <c r="IH126" s="28"/>
      <c r="II126" s="28"/>
      <c r="IJ126" s="28"/>
      <c r="IK126" s="28"/>
      <c r="IL126" s="28"/>
      <c r="IM126" s="28"/>
      <c r="IN126" s="28"/>
    </row>
    <row r="127" s="230" customFormat="1" ht="43.2" spans="1:248">
      <c r="A127" s="249" t="s">
        <v>572</v>
      </c>
      <c r="B127" s="251" t="s">
        <v>573</v>
      </c>
      <c r="C127" s="251" t="s">
        <v>24</v>
      </c>
      <c r="D127" s="252" t="s">
        <v>58</v>
      </c>
      <c r="E127" s="253" t="s">
        <v>574</v>
      </c>
      <c r="F127" s="250">
        <v>278.05</v>
      </c>
      <c r="G127" s="253" t="s">
        <v>147</v>
      </c>
      <c r="H127" s="251" t="s">
        <v>53</v>
      </c>
      <c r="I127" s="251" t="s">
        <v>575</v>
      </c>
      <c r="J127" s="89">
        <v>278.05</v>
      </c>
      <c r="K127" s="89">
        <v>0</v>
      </c>
      <c r="L127" s="250">
        <f t="shared" si="3"/>
        <v>45</v>
      </c>
      <c r="M127" s="89">
        <v>45</v>
      </c>
      <c r="N127" s="89">
        <v>0</v>
      </c>
      <c r="O127" s="268">
        <v>45</v>
      </c>
      <c r="P127" s="268">
        <v>0</v>
      </c>
      <c r="Q127" s="278"/>
      <c r="R127" s="111" t="s">
        <v>107</v>
      </c>
      <c r="S127" s="111"/>
      <c r="T127" s="281"/>
      <c r="U127" s="280">
        <f t="shared" si="4"/>
        <v>0</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c r="GE127" s="28"/>
      <c r="GF127" s="28"/>
      <c r="GG127" s="28"/>
      <c r="GH127" s="28"/>
      <c r="GI127" s="28"/>
      <c r="GJ127" s="28"/>
      <c r="GK127" s="28"/>
      <c r="GL127" s="28"/>
      <c r="GM127" s="28"/>
      <c r="GN127" s="28"/>
      <c r="GO127" s="28"/>
      <c r="GP127" s="28"/>
      <c r="GQ127" s="28"/>
      <c r="GR127" s="28"/>
      <c r="GS127" s="28"/>
      <c r="GT127" s="28"/>
      <c r="GU127" s="28"/>
      <c r="GV127" s="28"/>
      <c r="GW127" s="28"/>
      <c r="GX127" s="28"/>
      <c r="GY127" s="28"/>
      <c r="GZ127" s="28"/>
      <c r="HA127" s="28"/>
      <c r="HB127" s="28"/>
      <c r="HC127" s="28"/>
      <c r="HD127" s="28"/>
      <c r="HE127" s="28"/>
      <c r="HF127" s="28"/>
      <c r="HG127" s="28"/>
      <c r="HH127" s="28"/>
      <c r="HI127" s="28"/>
      <c r="HJ127" s="28"/>
      <c r="HK127" s="28"/>
      <c r="HL127" s="28"/>
      <c r="HM127" s="28"/>
      <c r="HN127" s="28"/>
      <c r="HO127" s="28"/>
      <c r="HP127" s="28"/>
      <c r="HQ127" s="28"/>
      <c r="HR127" s="28"/>
      <c r="HS127" s="28"/>
      <c r="HT127" s="28"/>
      <c r="HU127" s="28"/>
      <c r="HV127" s="28"/>
      <c r="HW127" s="28"/>
      <c r="HX127" s="28"/>
      <c r="HY127" s="28"/>
      <c r="HZ127" s="28"/>
      <c r="IA127" s="28"/>
      <c r="IB127" s="28"/>
      <c r="IC127" s="28"/>
      <c r="ID127" s="28"/>
      <c r="IE127" s="28"/>
      <c r="IF127" s="28"/>
      <c r="IG127" s="28"/>
      <c r="IH127" s="28"/>
      <c r="II127" s="28"/>
      <c r="IJ127" s="28"/>
      <c r="IK127" s="28"/>
      <c r="IL127" s="28"/>
      <c r="IM127" s="28"/>
      <c r="IN127" s="28"/>
    </row>
    <row r="128" s="230" customFormat="1" ht="43.2" spans="1:248">
      <c r="A128" s="249" t="s">
        <v>576</v>
      </c>
      <c r="B128" s="251" t="s">
        <v>577</v>
      </c>
      <c r="C128" s="251" t="s">
        <v>24</v>
      </c>
      <c r="D128" s="252" t="s">
        <v>58</v>
      </c>
      <c r="E128" s="253" t="s">
        <v>578</v>
      </c>
      <c r="F128" s="250">
        <v>302</v>
      </c>
      <c r="G128" s="253" t="s">
        <v>513</v>
      </c>
      <c r="H128" s="251" t="s">
        <v>53</v>
      </c>
      <c r="I128" s="251" t="s">
        <v>579</v>
      </c>
      <c r="J128" s="270">
        <v>302</v>
      </c>
      <c r="K128" s="89">
        <v>0</v>
      </c>
      <c r="L128" s="250">
        <f t="shared" si="3"/>
        <v>45</v>
      </c>
      <c r="M128" s="109">
        <v>45</v>
      </c>
      <c r="N128" s="89">
        <v>0</v>
      </c>
      <c r="O128" s="268">
        <v>10</v>
      </c>
      <c r="P128" s="268">
        <v>35</v>
      </c>
      <c r="Q128" s="278"/>
      <c r="R128" s="111" t="s">
        <v>107</v>
      </c>
      <c r="S128" s="111"/>
      <c r="T128" s="281"/>
      <c r="U128" s="280">
        <f t="shared" si="4"/>
        <v>0</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c r="HM128" s="28"/>
      <c r="HN128" s="28"/>
      <c r="HO128" s="28"/>
      <c r="HP128" s="28"/>
      <c r="HQ128" s="28"/>
      <c r="HR128" s="28"/>
      <c r="HS128" s="28"/>
      <c r="HT128" s="28"/>
      <c r="HU128" s="28"/>
      <c r="HV128" s="28"/>
      <c r="HW128" s="28"/>
      <c r="HX128" s="28"/>
      <c r="HY128" s="28"/>
      <c r="HZ128" s="28"/>
      <c r="IA128" s="28"/>
      <c r="IB128" s="28"/>
      <c r="IC128" s="28"/>
      <c r="ID128" s="28"/>
      <c r="IE128" s="28"/>
      <c r="IF128" s="28"/>
      <c r="IG128" s="28"/>
      <c r="IH128" s="28"/>
      <c r="II128" s="28"/>
      <c r="IJ128" s="28"/>
      <c r="IK128" s="28"/>
      <c r="IL128" s="28"/>
      <c r="IM128" s="28"/>
      <c r="IN128" s="28"/>
    </row>
    <row r="129" s="230" customFormat="1" ht="72" spans="1:248">
      <c r="A129" s="249" t="s">
        <v>580</v>
      </c>
      <c r="B129" s="58" t="s">
        <v>581</v>
      </c>
      <c r="C129" s="58" t="s">
        <v>24</v>
      </c>
      <c r="D129" s="58" t="s">
        <v>209</v>
      </c>
      <c r="E129" s="71" t="s">
        <v>582</v>
      </c>
      <c r="F129" s="250">
        <v>796.83</v>
      </c>
      <c r="G129" s="292">
        <v>2015</v>
      </c>
      <c r="H129" s="212" t="s">
        <v>53</v>
      </c>
      <c r="I129" s="212" t="s">
        <v>583</v>
      </c>
      <c r="J129" s="89">
        <v>796.83</v>
      </c>
      <c r="K129" s="89">
        <v>0</v>
      </c>
      <c r="L129" s="250">
        <f t="shared" si="3"/>
        <v>44.44</v>
      </c>
      <c r="M129" s="89">
        <v>44.44</v>
      </c>
      <c r="N129" s="89">
        <v>0</v>
      </c>
      <c r="O129" s="268">
        <v>44.44</v>
      </c>
      <c r="P129" s="268">
        <v>0</v>
      </c>
      <c r="Q129" s="290"/>
      <c r="R129" s="291" t="s">
        <v>95</v>
      </c>
      <c r="S129" s="111"/>
      <c r="T129" s="281"/>
      <c r="U129" s="280">
        <f t="shared" si="4"/>
        <v>0</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28"/>
      <c r="GA129" s="28"/>
      <c r="GB129" s="28"/>
      <c r="GC129" s="28"/>
      <c r="GD129" s="28"/>
      <c r="GE129" s="28"/>
      <c r="GF129" s="28"/>
      <c r="GG129" s="28"/>
      <c r="GH129" s="28"/>
      <c r="GI129" s="28"/>
      <c r="GJ129" s="28"/>
      <c r="GK129" s="28"/>
      <c r="GL129" s="28"/>
      <c r="GM129" s="28"/>
      <c r="GN129" s="28"/>
      <c r="GO129" s="28"/>
      <c r="GP129" s="28"/>
      <c r="GQ129" s="28"/>
      <c r="GR129" s="28"/>
      <c r="GS129" s="28"/>
      <c r="GT129" s="28"/>
      <c r="GU129" s="28"/>
      <c r="GV129" s="28"/>
      <c r="GW129" s="28"/>
      <c r="GX129" s="28"/>
      <c r="GY129" s="28"/>
      <c r="GZ129" s="28"/>
      <c r="HA129" s="28"/>
      <c r="HB129" s="28"/>
      <c r="HC129" s="28"/>
      <c r="HD129" s="28"/>
      <c r="HE129" s="28"/>
      <c r="HF129" s="28"/>
      <c r="HG129" s="28"/>
      <c r="HH129" s="28"/>
      <c r="HI129" s="28"/>
      <c r="HJ129" s="28"/>
      <c r="HK129" s="28"/>
      <c r="HL129" s="28"/>
      <c r="HM129" s="28"/>
      <c r="HN129" s="28"/>
      <c r="HO129" s="28"/>
      <c r="HP129" s="28"/>
      <c r="HQ129" s="28"/>
      <c r="HR129" s="28"/>
      <c r="HS129" s="28"/>
      <c r="HT129" s="28"/>
      <c r="HU129" s="28"/>
      <c r="HV129" s="28"/>
      <c r="HW129" s="28"/>
      <c r="HX129" s="28"/>
      <c r="HY129" s="28"/>
      <c r="HZ129" s="28"/>
      <c r="IA129" s="28"/>
      <c r="IB129" s="28"/>
      <c r="IC129" s="28"/>
      <c r="ID129" s="28"/>
      <c r="IE129" s="28"/>
      <c r="IF129" s="28"/>
      <c r="IG129" s="28"/>
      <c r="IH129" s="28"/>
      <c r="II129" s="28"/>
      <c r="IJ129" s="28"/>
      <c r="IK129" s="28"/>
      <c r="IL129" s="28"/>
      <c r="IM129" s="28"/>
      <c r="IN129" s="28"/>
    </row>
    <row r="130" s="230" customFormat="1" ht="43.2" spans="1:248">
      <c r="A130" s="249" t="s">
        <v>584</v>
      </c>
      <c r="B130" s="73" t="s">
        <v>585</v>
      </c>
      <c r="C130" s="58" t="s">
        <v>24</v>
      </c>
      <c r="D130" s="252" t="s">
        <v>58</v>
      </c>
      <c r="E130" s="75" t="s">
        <v>586</v>
      </c>
      <c r="F130" s="250">
        <v>236.23</v>
      </c>
      <c r="G130" s="89" t="s">
        <v>60</v>
      </c>
      <c r="H130" s="251" t="s">
        <v>53</v>
      </c>
      <c r="I130" s="73" t="s">
        <v>587</v>
      </c>
      <c r="J130" s="109">
        <v>236.23</v>
      </c>
      <c r="K130" s="109">
        <v>0</v>
      </c>
      <c r="L130" s="250">
        <f t="shared" si="3"/>
        <v>41.87</v>
      </c>
      <c r="M130" s="109">
        <f>J130-194.36</f>
        <v>41.87</v>
      </c>
      <c r="N130" s="109">
        <v>0</v>
      </c>
      <c r="O130" s="268">
        <v>0</v>
      </c>
      <c r="P130" s="268">
        <v>41.87</v>
      </c>
      <c r="Q130" s="278"/>
      <c r="R130" s="111" t="s">
        <v>107</v>
      </c>
      <c r="S130" s="111"/>
      <c r="T130" s="281"/>
      <c r="U130" s="280">
        <f t="shared" si="4"/>
        <v>0</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c r="GE130" s="28"/>
      <c r="GF130" s="28"/>
      <c r="GG130" s="28"/>
      <c r="GH130" s="28"/>
      <c r="GI130" s="28"/>
      <c r="GJ130" s="28"/>
      <c r="GK130" s="28"/>
      <c r="GL130" s="28"/>
      <c r="GM130" s="28"/>
      <c r="GN130" s="28"/>
      <c r="GO130" s="28"/>
      <c r="GP130" s="28"/>
      <c r="GQ130" s="28"/>
      <c r="GR130" s="28"/>
      <c r="GS130" s="28"/>
      <c r="GT130" s="28"/>
      <c r="GU130" s="28"/>
      <c r="GV130" s="28"/>
      <c r="GW130" s="28"/>
      <c r="GX130" s="28"/>
      <c r="GY130" s="28"/>
      <c r="GZ130" s="28"/>
      <c r="HA130" s="28"/>
      <c r="HB130" s="28"/>
      <c r="HC130" s="28"/>
      <c r="HD130" s="28"/>
      <c r="HE130" s="28"/>
      <c r="HF130" s="28"/>
      <c r="HG130" s="28"/>
      <c r="HH130" s="28"/>
      <c r="HI130" s="28"/>
      <c r="HJ130" s="28"/>
      <c r="HK130" s="28"/>
      <c r="HL130" s="28"/>
      <c r="HM130" s="28"/>
      <c r="HN130" s="28"/>
      <c r="HO130" s="28"/>
      <c r="HP130" s="28"/>
      <c r="HQ130" s="28"/>
      <c r="HR130" s="28"/>
      <c r="HS130" s="28"/>
      <c r="HT130" s="28"/>
      <c r="HU130" s="28"/>
      <c r="HV130" s="28"/>
      <c r="HW130" s="28"/>
      <c r="HX130" s="28"/>
      <c r="HY130" s="28"/>
      <c r="HZ130" s="28"/>
      <c r="IA130" s="28"/>
      <c r="IB130" s="28"/>
      <c r="IC130" s="28"/>
      <c r="ID130" s="28"/>
      <c r="IE130" s="28"/>
      <c r="IF130" s="28"/>
      <c r="IG130" s="28"/>
      <c r="IH130" s="28"/>
      <c r="II130" s="28"/>
      <c r="IJ130" s="28"/>
      <c r="IK130" s="28"/>
      <c r="IL130" s="28"/>
      <c r="IM130" s="28"/>
      <c r="IN130" s="28"/>
    </row>
    <row r="131" s="230" customFormat="1" ht="86.4" spans="1:248">
      <c r="A131" s="249" t="s">
        <v>588</v>
      </c>
      <c r="B131" s="73" t="s">
        <v>589</v>
      </c>
      <c r="C131" s="58" t="s">
        <v>24</v>
      </c>
      <c r="D131" s="252" t="s">
        <v>58</v>
      </c>
      <c r="E131" s="253" t="s">
        <v>590</v>
      </c>
      <c r="F131" s="250">
        <v>326.79</v>
      </c>
      <c r="G131" s="89" t="s">
        <v>242</v>
      </c>
      <c r="H131" s="251" t="s">
        <v>53</v>
      </c>
      <c r="I131" s="73" t="s">
        <v>591</v>
      </c>
      <c r="J131" s="270">
        <v>326.79</v>
      </c>
      <c r="K131" s="89">
        <v>0</v>
      </c>
      <c r="L131" s="250">
        <f t="shared" si="3"/>
        <v>40.93</v>
      </c>
      <c r="M131" s="109">
        <v>40.93</v>
      </c>
      <c r="N131" s="109">
        <v>0</v>
      </c>
      <c r="O131" s="268">
        <v>40.93</v>
      </c>
      <c r="P131" s="268">
        <v>0</v>
      </c>
      <c r="Q131" s="278"/>
      <c r="R131" s="111" t="s">
        <v>107</v>
      </c>
      <c r="S131" s="111"/>
      <c r="T131" s="281"/>
      <c r="U131" s="280">
        <f t="shared" si="4"/>
        <v>0</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row>
    <row r="132" s="230" customFormat="1" ht="43.2" spans="1:248">
      <c r="A132" s="249" t="s">
        <v>592</v>
      </c>
      <c r="B132" s="251" t="s">
        <v>593</v>
      </c>
      <c r="C132" s="251" t="s">
        <v>24</v>
      </c>
      <c r="D132" s="252" t="s">
        <v>58</v>
      </c>
      <c r="E132" s="253" t="s">
        <v>594</v>
      </c>
      <c r="F132" s="250">
        <v>170.8</v>
      </c>
      <c r="G132" s="253" t="s">
        <v>595</v>
      </c>
      <c r="H132" s="251" t="s">
        <v>53</v>
      </c>
      <c r="I132" s="251" t="s">
        <v>596</v>
      </c>
      <c r="J132" s="89">
        <v>170.8</v>
      </c>
      <c r="K132" s="89">
        <v>0</v>
      </c>
      <c r="L132" s="250">
        <f t="shared" si="3"/>
        <v>40</v>
      </c>
      <c r="M132" s="89">
        <v>40</v>
      </c>
      <c r="N132" s="89">
        <v>0</v>
      </c>
      <c r="O132" s="268">
        <v>40</v>
      </c>
      <c r="P132" s="268">
        <v>0</v>
      </c>
      <c r="Q132" s="278"/>
      <c r="R132" s="111" t="s">
        <v>62</v>
      </c>
      <c r="S132" s="111"/>
      <c r="T132" s="281"/>
      <c r="U132" s="280">
        <f t="shared" si="4"/>
        <v>0</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8"/>
      <c r="GR132" s="28"/>
      <c r="GS132" s="28"/>
      <c r="GT132" s="28"/>
      <c r="GU132" s="28"/>
      <c r="GV132" s="28"/>
      <c r="GW132" s="28"/>
      <c r="GX132" s="28"/>
      <c r="GY132" s="28"/>
      <c r="GZ132" s="28"/>
      <c r="HA132" s="28"/>
      <c r="HB132" s="28"/>
      <c r="HC132" s="28"/>
      <c r="HD132" s="28"/>
      <c r="HE132" s="28"/>
      <c r="HF132" s="28"/>
      <c r="HG132" s="28"/>
      <c r="HH132" s="28"/>
      <c r="HI132" s="28"/>
      <c r="HJ132" s="28"/>
      <c r="HK132" s="28"/>
      <c r="HL132" s="28"/>
      <c r="HM132" s="28"/>
      <c r="HN132" s="28"/>
      <c r="HO132" s="28"/>
      <c r="HP132" s="28"/>
      <c r="HQ132" s="28"/>
      <c r="HR132" s="28"/>
      <c r="HS132" s="28"/>
      <c r="HT132" s="28"/>
      <c r="HU132" s="28"/>
      <c r="HV132" s="28"/>
      <c r="HW132" s="28"/>
      <c r="HX132" s="28"/>
      <c r="HY132" s="28"/>
      <c r="HZ132" s="28"/>
      <c r="IA132" s="28"/>
      <c r="IB132" s="28"/>
      <c r="IC132" s="28"/>
      <c r="ID132" s="28"/>
      <c r="IE132" s="28"/>
      <c r="IF132" s="28"/>
      <c r="IG132" s="28"/>
      <c r="IH132" s="28"/>
      <c r="II132" s="28"/>
      <c r="IJ132" s="28"/>
      <c r="IK132" s="28"/>
      <c r="IL132" s="28"/>
      <c r="IM132" s="28"/>
      <c r="IN132" s="28"/>
    </row>
    <row r="133" s="230" customFormat="1" ht="43.2" spans="1:248">
      <c r="A133" s="249" t="s">
        <v>597</v>
      </c>
      <c r="B133" s="251" t="s">
        <v>598</v>
      </c>
      <c r="C133" s="251" t="s">
        <v>24</v>
      </c>
      <c r="D133" s="252" t="s">
        <v>58</v>
      </c>
      <c r="E133" s="253" t="s">
        <v>599</v>
      </c>
      <c r="F133" s="250">
        <v>239.03</v>
      </c>
      <c r="G133" s="253" t="s">
        <v>422</v>
      </c>
      <c r="H133" s="251" t="s">
        <v>53</v>
      </c>
      <c r="I133" s="251" t="s">
        <v>600</v>
      </c>
      <c r="J133" s="89">
        <v>239.03</v>
      </c>
      <c r="K133" s="89">
        <v>0</v>
      </c>
      <c r="L133" s="250">
        <f t="shared" si="3"/>
        <v>40</v>
      </c>
      <c r="M133" s="89">
        <v>40</v>
      </c>
      <c r="N133" s="89">
        <v>0</v>
      </c>
      <c r="O133" s="268">
        <v>0</v>
      </c>
      <c r="P133" s="268">
        <v>40</v>
      </c>
      <c r="Q133" s="278"/>
      <c r="R133" s="111" t="s">
        <v>107</v>
      </c>
      <c r="S133" s="111"/>
      <c r="T133" s="281"/>
      <c r="U133" s="280">
        <f t="shared" si="4"/>
        <v>0</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c r="GE133" s="28"/>
      <c r="GF133" s="28"/>
      <c r="GG133" s="28"/>
      <c r="GH133" s="28"/>
      <c r="GI133" s="28"/>
      <c r="GJ133" s="28"/>
      <c r="GK133" s="28"/>
      <c r="GL133" s="28"/>
      <c r="GM133" s="28"/>
      <c r="GN133" s="28"/>
      <c r="GO133" s="28"/>
      <c r="GP133" s="28"/>
      <c r="GQ133" s="28"/>
      <c r="GR133" s="28"/>
      <c r="GS133" s="28"/>
      <c r="GT133" s="28"/>
      <c r="GU133" s="28"/>
      <c r="GV133" s="28"/>
      <c r="GW133" s="28"/>
      <c r="GX133" s="28"/>
      <c r="GY133" s="28"/>
      <c r="GZ133" s="28"/>
      <c r="HA133" s="28"/>
      <c r="HB133" s="28"/>
      <c r="HC133" s="28"/>
      <c r="HD133" s="28"/>
      <c r="HE133" s="28"/>
      <c r="HF133" s="28"/>
      <c r="HG133" s="28"/>
      <c r="HH133" s="28"/>
      <c r="HI133" s="28"/>
      <c r="HJ133" s="28"/>
      <c r="HK133" s="28"/>
      <c r="HL133" s="28"/>
      <c r="HM133" s="28"/>
      <c r="HN133" s="28"/>
      <c r="HO133" s="28"/>
      <c r="HP133" s="28"/>
      <c r="HQ133" s="28"/>
      <c r="HR133" s="28"/>
      <c r="HS133" s="28"/>
      <c r="HT133" s="28"/>
      <c r="HU133" s="28"/>
      <c r="HV133" s="28"/>
      <c r="HW133" s="28"/>
      <c r="HX133" s="28"/>
      <c r="HY133" s="28"/>
      <c r="HZ133" s="28"/>
      <c r="IA133" s="28"/>
      <c r="IB133" s="28"/>
      <c r="IC133" s="28"/>
      <c r="ID133" s="28"/>
      <c r="IE133" s="28"/>
      <c r="IF133" s="28"/>
      <c r="IG133" s="28"/>
      <c r="IH133" s="28"/>
      <c r="II133" s="28"/>
      <c r="IJ133" s="28"/>
      <c r="IK133" s="28"/>
      <c r="IL133" s="28"/>
      <c r="IM133" s="28"/>
      <c r="IN133" s="28"/>
    </row>
    <row r="134" s="230" customFormat="1" ht="57.6" spans="1:248">
      <c r="A134" s="249" t="s">
        <v>601</v>
      </c>
      <c r="B134" s="73" t="s">
        <v>602</v>
      </c>
      <c r="C134" s="58" t="s">
        <v>24</v>
      </c>
      <c r="D134" s="252" t="s">
        <v>58</v>
      </c>
      <c r="E134" s="75" t="s">
        <v>603</v>
      </c>
      <c r="F134" s="250">
        <v>10732.72</v>
      </c>
      <c r="G134" s="89" t="s">
        <v>604</v>
      </c>
      <c r="H134" s="251" t="s">
        <v>53</v>
      </c>
      <c r="I134" s="73" t="s">
        <v>605</v>
      </c>
      <c r="J134" s="109">
        <f>F134</f>
        <v>10732.72</v>
      </c>
      <c r="K134" s="109">
        <v>0</v>
      </c>
      <c r="L134" s="250">
        <f t="shared" si="3"/>
        <v>40</v>
      </c>
      <c r="M134" s="109">
        <v>40</v>
      </c>
      <c r="N134" s="109">
        <v>0</v>
      </c>
      <c r="O134" s="268">
        <v>40</v>
      </c>
      <c r="P134" s="268">
        <v>0</v>
      </c>
      <c r="Q134" s="278"/>
      <c r="R134" s="111" t="s">
        <v>107</v>
      </c>
      <c r="S134" s="111"/>
      <c r="T134" s="281"/>
      <c r="U134" s="280">
        <f t="shared" si="4"/>
        <v>0</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row>
    <row r="135" s="230" customFormat="1" ht="43.2" spans="1:248">
      <c r="A135" s="249" t="s">
        <v>606</v>
      </c>
      <c r="B135" s="73" t="s">
        <v>607</v>
      </c>
      <c r="C135" s="58" t="s">
        <v>24</v>
      </c>
      <c r="D135" s="252" t="s">
        <v>58</v>
      </c>
      <c r="E135" s="75" t="s">
        <v>608</v>
      </c>
      <c r="F135" s="250">
        <v>296.42</v>
      </c>
      <c r="G135" s="73" t="s">
        <v>93</v>
      </c>
      <c r="H135" s="251" t="s">
        <v>53</v>
      </c>
      <c r="I135" s="293" t="s">
        <v>609</v>
      </c>
      <c r="J135" s="109">
        <v>296.42</v>
      </c>
      <c r="K135" s="109">
        <v>0</v>
      </c>
      <c r="L135" s="250">
        <f t="shared" si="3"/>
        <v>40</v>
      </c>
      <c r="M135" s="109">
        <v>40</v>
      </c>
      <c r="N135" s="109">
        <v>0</v>
      </c>
      <c r="O135" s="268">
        <v>40</v>
      </c>
      <c r="P135" s="268">
        <v>0</v>
      </c>
      <c r="Q135" s="278"/>
      <c r="R135" s="111" t="s">
        <v>107</v>
      </c>
      <c r="S135" s="111"/>
      <c r="T135" s="281"/>
      <c r="U135" s="280">
        <f t="shared" si="4"/>
        <v>0</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row>
    <row r="136" s="230" customFormat="1" ht="43.2" spans="1:248">
      <c r="A136" s="249" t="s">
        <v>610</v>
      </c>
      <c r="B136" s="58" t="s">
        <v>611</v>
      </c>
      <c r="C136" s="58" t="s">
        <v>24</v>
      </c>
      <c r="D136" s="252" t="s">
        <v>58</v>
      </c>
      <c r="E136" s="71" t="s">
        <v>612</v>
      </c>
      <c r="F136" s="250">
        <v>374.82</v>
      </c>
      <c r="G136" s="58" t="s">
        <v>147</v>
      </c>
      <c r="H136" s="58" t="s">
        <v>53</v>
      </c>
      <c r="I136" s="89" t="s">
        <v>613</v>
      </c>
      <c r="J136" s="89">
        <v>374.82</v>
      </c>
      <c r="K136" s="185">
        <v>0</v>
      </c>
      <c r="L136" s="250">
        <f t="shared" si="3"/>
        <v>40</v>
      </c>
      <c r="M136" s="185">
        <v>40</v>
      </c>
      <c r="N136" s="185">
        <v>0</v>
      </c>
      <c r="O136" s="268">
        <v>40</v>
      </c>
      <c r="P136" s="268">
        <v>0</v>
      </c>
      <c r="Q136" s="278"/>
      <c r="R136" s="111" t="s">
        <v>107</v>
      </c>
      <c r="S136" s="111"/>
      <c r="T136" s="281"/>
      <c r="U136" s="280">
        <f t="shared" si="4"/>
        <v>0</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row>
    <row r="137" s="230" customFormat="1" ht="57.6" spans="1:248">
      <c r="A137" s="249" t="s">
        <v>614</v>
      </c>
      <c r="B137" s="58" t="s">
        <v>615</v>
      </c>
      <c r="C137" s="58" t="s">
        <v>24</v>
      </c>
      <c r="D137" s="58" t="s">
        <v>209</v>
      </c>
      <c r="E137" s="71" t="s">
        <v>616</v>
      </c>
      <c r="F137" s="250">
        <v>184</v>
      </c>
      <c r="G137" s="212" t="s">
        <v>60</v>
      </c>
      <c r="H137" s="212" t="s">
        <v>53</v>
      </c>
      <c r="I137" s="212" t="s">
        <v>617</v>
      </c>
      <c r="J137" s="89">
        <v>184</v>
      </c>
      <c r="K137" s="89">
        <v>0</v>
      </c>
      <c r="L137" s="250">
        <f t="shared" ref="L137:L163" si="5">M137+N137</f>
        <v>39.02</v>
      </c>
      <c r="M137" s="89">
        <v>39.02</v>
      </c>
      <c r="N137" s="89">
        <v>0</v>
      </c>
      <c r="O137" s="268">
        <v>39.02</v>
      </c>
      <c r="P137" s="268">
        <v>0</v>
      </c>
      <c r="Q137" s="288"/>
      <c r="R137" s="289" t="s">
        <v>88</v>
      </c>
      <c r="S137" s="111"/>
      <c r="T137" s="281"/>
      <c r="U137" s="280">
        <f t="shared" ref="U137:U200" si="6">O137+P137-L137</f>
        <v>0</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row>
    <row r="138" s="230" customFormat="1" ht="57.6" spans="1:248">
      <c r="A138" s="249" t="s">
        <v>618</v>
      </c>
      <c r="B138" s="58" t="s">
        <v>619</v>
      </c>
      <c r="C138" s="73" t="s">
        <v>24</v>
      </c>
      <c r="D138" s="252" t="s">
        <v>58</v>
      </c>
      <c r="E138" s="75" t="s">
        <v>620</v>
      </c>
      <c r="F138" s="250">
        <v>203.24</v>
      </c>
      <c r="G138" s="89" t="s">
        <v>242</v>
      </c>
      <c r="H138" s="251" t="s">
        <v>53</v>
      </c>
      <c r="I138" s="73" t="s">
        <v>621</v>
      </c>
      <c r="J138" s="89">
        <v>203.24</v>
      </c>
      <c r="K138" s="89">
        <v>0</v>
      </c>
      <c r="L138" s="250">
        <f t="shared" si="5"/>
        <v>35.22</v>
      </c>
      <c r="M138" s="109">
        <v>35.22</v>
      </c>
      <c r="N138" s="109">
        <v>0</v>
      </c>
      <c r="O138" s="268">
        <v>35.22</v>
      </c>
      <c r="P138" s="268">
        <v>0</v>
      </c>
      <c r="Q138" s="278"/>
      <c r="R138" s="111" t="s">
        <v>107</v>
      </c>
      <c r="S138" s="111"/>
      <c r="T138" s="281"/>
      <c r="U138" s="280">
        <f t="shared" si="6"/>
        <v>0</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row>
    <row r="139" s="230" customFormat="1" ht="43.2" spans="1:248">
      <c r="A139" s="249" t="s">
        <v>622</v>
      </c>
      <c r="B139" s="58" t="s">
        <v>623</v>
      </c>
      <c r="C139" s="58" t="s">
        <v>24</v>
      </c>
      <c r="D139" s="252" t="s">
        <v>58</v>
      </c>
      <c r="E139" s="71" t="s">
        <v>624</v>
      </c>
      <c r="F139" s="250">
        <v>218.89</v>
      </c>
      <c r="G139" s="293" t="s">
        <v>147</v>
      </c>
      <c r="H139" s="293" t="s">
        <v>53</v>
      </c>
      <c r="I139" s="293" t="s">
        <v>625</v>
      </c>
      <c r="J139" s="89">
        <v>218.89</v>
      </c>
      <c r="K139" s="89">
        <v>0</v>
      </c>
      <c r="L139" s="250">
        <f t="shared" si="5"/>
        <v>35</v>
      </c>
      <c r="M139" s="89">
        <v>35</v>
      </c>
      <c r="N139" s="89">
        <v>0</v>
      </c>
      <c r="O139" s="268">
        <v>0</v>
      </c>
      <c r="P139" s="268">
        <v>35</v>
      </c>
      <c r="Q139" s="278"/>
      <c r="R139" s="111" t="s">
        <v>107</v>
      </c>
      <c r="S139" s="111"/>
      <c r="T139" s="281"/>
      <c r="U139" s="280">
        <f t="shared" si="6"/>
        <v>0</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row>
    <row r="140" s="230" customFormat="1" ht="43.2" spans="1:248">
      <c r="A140" s="249" t="s">
        <v>626</v>
      </c>
      <c r="B140" s="73" t="s">
        <v>627</v>
      </c>
      <c r="C140" s="58" t="s">
        <v>24</v>
      </c>
      <c r="D140" s="252" t="s">
        <v>58</v>
      </c>
      <c r="E140" s="75" t="s">
        <v>628</v>
      </c>
      <c r="F140" s="250">
        <v>238.39</v>
      </c>
      <c r="G140" s="89" t="s">
        <v>60</v>
      </c>
      <c r="H140" s="251" t="s">
        <v>53</v>
      </c>
      <c r="I140" s="73" t="s">
        <v>629</v>
      </c>
      <c r="J140" s="109">
        <v>238.39</v>
      </c>
      <c r="K140" s="109">
        <v>0</v>
      </c>
      <c r="L140" s="250">
        <f t="shared" si="5"/>
        <v>32.51</v>
      </c>
      <c r="M140" s="109">
        <f>J140-205.88</f>
        <v>32.51</v>
      </c>
      <c r="N140" s="109">
        <v>0</v>
      </c>
      <c r="O140" s="268">
        <v>0</v>
      </c>
      <c r="P140" s="268">
        <v>32.51</v>
      </c>
      <c r="Q140" s="278"/>
      <c r="R140" s="111" t="s">
        <v>107</v>
      </c>
      <c r="S140" s="111"/>
      <c r="T140" s="281"/>
      <c r="U140" s="280">
        <f t="shared" si="6"/>
        <v>0</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row>
    <row r="141" s="230" customFormat="1" ht="57.6" spans="1:248">
      <c r="A141" s="249" t="s">
        <v>630</v>
      </c>
      <c r="B141" s="251" t="s">
        <v>631</v>
      </c>
      <c r="C141" s="58" t="s">
        <v>24</v>
      </c>
      <c r="D141" s="252" t="s">
        <v>58</v>
      </c>
      <c r="E141" s="71" t="s">
        <v>632</v>
      </c>
      <c r="F141" s="250">
        <v>194.89</v>
      </c>
      <c r="G141" s="293" t="s">
        <v>251</v>
      </c>
      <c r="H141" s="293" t="s">
        <v>53</v>
      </c>
      <c r="I141" s="293" t="s">
        <v>633</v>
      </c>
      <c r="J141" s="89">
        <v>194.89</v>
      </c>
      <c r="K141" s="89">
        <v>0</v>
      </c>
      <c r="L141" s="250">
        <f t="shared" si="5"/>
        <v>32</v>
      </c>
      <c r="M141" s="89">
        <v>32</v>
      </c>
      <c r="N141" s="89">
        <v>0</v>
      </c>
      <c r="O141" s="268">
        <v>0</v>
      </c>
      <c r="P141" s="268">
        <v>32</v>
      </c>
      <c r="Q141" s="278"/>
      <c r="R141" s="111" t="s">
        <v>107</v>
      </c>
      <c r="S141" s="111"/>
      <c r="T141" s="281"/>
      <c r="U141" s="280">
        <f t="shared" si="6"/>
        <v>0</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row>
    <row r="142" s="230" customFormat="1" ht="43.2" spans="1:248">
      <c r="A142" s="249" t="s">
        <v>634</v>
      </c>
      <c r="B142" s="58" t="s">
        <v>635</v>
      </c>
      <c r="C142" s="58" t="s">
        <v>24</v>
      </c>
      <c r="D142" s="58" t="s">
        <v>209</v>
      </c>
      <c r="E142" s="71" t="s">
        <v>636</v>
      </c>
      <c r="F142" s="250">
        <v>450</v>
      </c>
      <c r="G142" s="212" t="s">
        <v>60</v>
      </c>
      <c r="H142" s="212" t="s">
        <v>53</v>
      </c>
      <c r="I142" s="212" t="s">
        <v>637</v>
      </c>
      <c r="J142" s="89">
        <v>450</v>
      </c>
      <c r="K142" s="89">
        <v>0</v>
      </c>
      <c r="L142" s="250">
        <f t="shared" si="5"/>
        <v>31.74</v>
      </c>
      <c r="M142" s="89">
        <v>31.74</v>
      </c>
      <c r="N142" s="89">
        <v>0</v>
      </c>
      <c r="O142" s="268">
        <v>31.74</v>
      </c>
      <c r="P142" s="268">
        <v>0</v>
      </c>
      <c r="Q142" s="288"/>
      <c r="R142" s="289" t="s">
        <v>107</v>
      </c>
      <c r="S142" s="111"/>
      <c r="T142" s="281"/>
      <c r="U142" s="280">
        <f t="shared" si="6"/>
        <v>0</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row>
    <row r="143" s="230" customFormat="1" ht="57.6" spans="1:248">
      <c r="A143" s="249" t="s">
        <v>638</v>
      </c>
      <c r="B143" s="251" t="s">
        <v>639</v>
      </c>
      <c r="C143" s="251" t="s">
        <v>24</v>
      </c>
      <c r="D143" s="252" t="s">
        <v>58</v>
      </c>
      <c r="E143" s="253" t="s">
        <v>640</v>
      </c>
      <c r="F143" s="250">
        <v>201.51</v>
      </c>
      <c r="G143" s="253" t="s">
        <v>251</v>
      </c>
      <c r="H143" s="251" t="s">
        <v>53</v>
      </c>
      <c r="I143" s="251" t="s">
        <v>641</v>
      </c>
      <c r="J143" s="89">
        <v>201.51</v>
      </c>
      <c r="K143" s="89">
        <v>0</v>
      </c>
      <c r="L143" s="250">
        <f t="shared" si="5"/>
        <v>30</v>
      </c>
      <c r="M143" s="89">
        <v>30</v>
      </c>
      <c r="N143" s="89">
        <v>0</v>
      </c>
      <c r="O143" s="268">
        <v>30</v>
      </c>
      <c r="P143" s="268">
        <v>0</v>
      </c>
      <c r="Q143" s="278"/>
      <c r="R143" s="111" t="s">
        <v>107</v>
      </c>
      <c r="S143" s="111"/>
      <c r="T143" s="281"/>
      <c r="U143" s="280">
        <f t="shared" si="6"/>
        <v>0</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row>
    <row r="144" s="230" customFormat="1" ht="100.8" spans="1:248">
      <c r="A144" s="249" t="s">
        <v>642</v>
      </c>
      <c r="B144" s="58" t="s">
        <v>643</v>
      </c>
      <c r="C144" s="58" t="s">
        <v>24</v>
      </c>
      <c r="D144" s="252" t="s">
        <v>58</v>
      </c>
      <c r="E144" s="71" t="s">
        <v>644</v>
      </c>
      <c r="F144" s="250">
        <v>4879.18</v>
      </c>
      <c r="G144" s="58" t="s">
        <v>406</v>
      </c>
      <c r="H144" s="58" t="s">
        <v>53</v>
      </c>
      <c r="I144" s="58" t="s">
        <v>645</v>
      </c>
      <c r="J144" s="89">
        <v>4879.18</v>
      </c>
      <c r="K144" s="89">
        <v>0</v>
      </c>
      <c r="L144" s="250">
        <f t="shared" si="5"/>
        <v>30</v>
      </c>
      <c r="M144" s="89">
        <v>30</v>
      </c>
      <c r="N144" s="89">
        <v>0</v>
      </c>
      <c r="O144" s="268">
        <v>0</v>
      </c>
      <c r="P144" s="268">
        <v>30</v>
      </c>
      <c r="Q144" s="278"/>
      <c r="R144" s="111" t="s">
        <v>107</v>
      </c>
      <c r="S144" s="111"/>
      <c r="T144" s="281"/>
      <c r="U144" s="280">
        <f t="shared" si="6"/>
        <v>0</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c r="ID144" s="28"/>
      <c r="IE144" s="28"/>
      <c r="IF144" s="28"/>
      <c r="IG144" s="28"/>
      <c r="IH144" s="28"/>
      <c r="II144" s="28"/>
      <c r="IJ144" s="28"/>
      <c r="IK144" s="28"/>
      <c r="IL144" s="28"/>
      <c r="IM144" s="28"/>
      <c r="IN144" s="28"/>
    </row>
    <row r="145" s="230" customFormat="1" ht="144" spans="1:248">
      <c r="A145" s="249" t="s">
        <v>646</v>
      </c>
      <c r="B145" s="58" t="s">
        <v>647</v>
      </c>
      <c r="C145" s="58" t="s">
        <v>24</v>
      </c>
      <c r="D145" s="252" t="s">
        <v>58</v>
      </c>
      <c r="E145" s="71" t="s">
        <v>648</v>
      </c>
      <c r="F145" s="250">
        <v>11936.0174</v>
      </c>
      <c r="G145" s="58" t="s">
        <v>127</v>
      </c>
      <c r="H145" s="58" t="s">
        <v>53</v>
      </c>
      <c r="I145" s="89" t="s">
        <v>128</v>
      </c>
      <c r="J145" s="89">
        <v>11936.0174</v>
      </c>
      <c r="K145" s="185">
        <v>0</v>
      </c>
      <c r="L145" s="250">
        <f t="shared" si="5"/>
        <v>30</v>
      </c>
      <c r="M145" s="185">
        <v>30</v>
      </c>
      <c r="N145" s="185">
        <v>0</v>
      </c>
      <c r="O145" s="268">
        <v>30</v>
      </c>
      <c r="P145" s="268">
        <v>0</v>
      </c>
      <c r="Q145" s="278"/>
      <c r="R145" s="111" t="s">
        <v>62</v>
      </c>
      <c r="S145" s="111"/>
      <c r="T145" s="281"/>
      <c r="U145" s="280">
        <f t="shared" si="6"/>
        <v>0</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c r="ID145" s="28"/>
      <c r="IE145" s="28"/>
      <c r="IF145" s="28"/>
      <c r="IG145" s="28"/>
      <c r="IH145" s="28"/>
      <c r="II145" s="28"/>
      <c r="IJ145" s="28"/>
      <c r="IK145" s="28"/>
      <c r="IL145" s="28"/>
      <c r="IM145" s="28"/>
      <c r="IN145" s="28"/>
    </row>
    <row r="146" s="230" customFormat="1" ht="43.2" spans="1:248">
      <c r="A146" s="249" t="s">
        <v>649</v>
      </c>
      <c r="B146" s="73" t="s">
        <v>650</v>
      </c>
      <c r="C146" s="73" t="s">
        <v>24</v>
      </c>
      <c r="D146" s="252" t="s">
        <v>58</v>
      </c>
      <c r="E146" s="75" t="s">
        <v>651</v>
      </c>
      <c r="F146" s="250">
        <v>215.19</v>
      </c>
      <c r="G146" s="73" t="s">
        <v>147</v>
      </c>
      <c r="H146" s="58" t="s">
        <v>53</v>
      </c>
      <c r="I146" s="73" t="s">
        <v>652</v>
      </c>
      <c r="J146" s="185">
        <v>215.19</v>
      </c>
      <c r="K146" s="185">
        <v>0</v>
      </c>
      <c r="L146" s="250">
        <f t="shared" si="5"/>
        <v>30</v>
      </c>
      <c r="M146" s="185">
        <v>30</v>
      </c>
      <c r="N146" s="185">
        <v>0</v>
      </c>
      <c r="O146" s="268">
        <v>0</v>
      </c>
      <c r="P146" s="268">
        <v>30</v>
      </c>
      <c r="Q146" s="278"/>
      <c r="R146" s="111" t="s">
        <v>62</v>
      </c>
      <c r="S146" s="111"/>
      <c r="T146" s="281"/>
      <c r="U146" s="280">
        <f t="shared" si="6"/>
        <v>0</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c r="HG146" s="28"/>
      <c r="HH146" s="28"/>
      <c r="HI146" s="28"/>
      <c r="HJ146" s="28"/>
      <c r="HK146" s="28"/>
      <c r="HL146" s="28"/>
      <c r="HM146" s="28"/>
      <c r="HN146" s="28"/>
      <c r="HO146" s="28"/>
      <c r="HP146" s="28"/>
      <c r="HQ146" s="28"/>
      <c r="HR146" s="28"/>
      <c r="HS146" s="28"/>
      <c r="HT146" s="28"/>
      <c r="HU146" s="28"/>
      <c r="HV146" s="28"/>
      <c r="HW146" s="28"/>
      <c r="HX146" s="28"/>
      <c r="HY146" s="28"/>
      <c r="HZ146" s="28"/>
      <c r="IA146" s="28"/>
      <c r="IB146" s="28"/>
      <c r="IC146" s="28"/>
      <c r="ID146" s="28"/>
      <c r="IE146" s="28"/>
      <c r="IF146" s="28"/>
      <c r="IG146" s="28"/>
      <c r="IH146" s="28"/>
      <c r="II146" s="28"/>
      <c r="IJ146" s="28"/>
      <c r="IK146" s="28"/>
      <c r="IL146" s="28"/>
      <c r="IM146" s="28"/>
      <c r="IN146" s="28"/>
    </row>
    <row r="147" s="230" customFormat="1" ht="43.2" spans="1:248">
      <c r="A147" s="249" t="s">
        <v>653</v>
      </c>
      <c r="B147" s="58" t="s">
        <v>654</v>
      </c>
      <c r="C147" s="73" t="s">
        <v>24</v>
      </c>
      <c r="D147" s="252" t="s">
        <v>58</v>
      </c>
      <c r="E147" s="75" t="s">
        <v>655</v>
      </c>
      <c r="F147" s="250">
        <v>246.7</v>
      </c>
      <c r="G147" s="89" t="s">
        <v>251</v>
      </c>
      <c r="H147" s="251" t="s">
        <v>53</v>
      </c>
      <c r="I147" s="73" t="s">
        <v>656</v>
      </c>
      <c r="J147" s="89">
        <v>246.7</v>
      </c>
      <c r="K147" s="89">
        <v>0</v>
      </c>
      <c r="L147" s="250">
        <f t="shared" si="5"/>
        <v>29.91</v>
      </c>
      <c r="M147" s="109">
        <v>29.91</v>
      </c>
      <c r="N147" s="109">
        <v>0</v>
      </c>
      <c r="O147" s="268">
        <v>29.91</v>
      </c>
      <c r="P147" s="268">
        <v>0</v>
      </c>
      <c r="Q147" s="278"/>
      <c r="R147" s="111" t="s">
        <v>107</v>
      </c>
      <c r="S147" s="111"/>
      <c r="T147" s="281"/>
      <c r="U147" s="280">
        <f t="shared" si="6"/>
        <v>0</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c r="ID147" s="28"/>
      <c r="IE147" s="28"/>
      <c r="IF147" s="28"/>
      <c r="IG147" s="28"/>
      <c r="IH147" s="28"/>
      <c r="II147" s="28"/>
      <c r="IJ147" s="28"/>
      <c r="IK147" s="28"/>
      <c r="IL147" s="28"/>
      <c r="IM147" s="28"/>
      <c r="IN147" s="28"/>
    </row>
    <row r="148" s="230" customFormat="1" ht="43.2" spans="1:248">
      <c r="A148" s="249" t="s">
        <v>657</v>
      </c>
      <c r="B148" s="58" t="s">
        <v>658</v>
      </c>
      <c r="C148" s="58" t="s">
        <v>24</v>
      </c>
      <c r="D148" s="252" t="s">
        <v>58</v>
      </c>
      <c r="E148" s="71" t="s">
        <v>659</v>
      </c>
      <c r="F148" s="250">
        <v>216.43</v>
      </c>
      <c r="G148" s="58" t="s">
        <v>147</v>
      </c>
      <c r="H148" s="58" t="s">
        <v>53</v>
      </c>
      <c r="I148" s="89" t="s">
        <v>660</v>
      </c>
      <c r="J148" s="89">
        <v>216.43</v>
      </c>
      <c r="K148" s="185">
        <v>0</v>
      </c>
      <c r="L148" s="250">
        <f t="shared" si="5"/>
        <v>27</v>
      </c>
      <c r="M148" s="185">
        <v>27</v>
      </c>
      <c r="N148" s="185">
        <v>0</v>
      </c>
      <c r="O148" s="268">
        <v>27</v>
      </c>
      <c r="P148" s="268">
        <v>0</v>
      </c>
      <c r="Q148" s="278"/>
      <c r="R148" s="111" t="s">
        <v>107</v>
      </c>
      <c r="S148" s="111"/>
      <c r="T148" s="281"/>
      <c r="U148" s="280">
        <f t="shared" si="6"/>
        <v>0</v>
      </c>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c r="ID148" s="28"/>
      <c r="IE148" s="28"/>
      <c r="IF148" s="28"/>
      <c r="IG148" s="28"/>
      <c r="IH148" s="28"/>
      <c r="II148" s="28"/>
      <c r="IJ148" s="28"/>
      <c r="IK148" s="28"/>
      <c r="IL148" s="28"/>
      <c r="IM148" s="28"/>
      <c r="IN148" s="28"/>
    </row>
    <row r="149" s="230" customFormat="1" ht="43.2" spans="1:248">
      <c r="A149" s="249" t="s">
        <v>661</v>
      </c>
      <c r="B149" s="58" t="s">
        <v>662</v>
      </c>
      <c r="C149" s="58" t="s">
        <v>24</v>
      </c>
      <c r="D149" s="252" t="s">
        <v>58</v>
      </c>
      <c r="E149" s="71" t="s">
        <v>663</v>
      </c>
      <c r="F149" s="250">
        <v>78.8</v>
      </c>
      <c r="G149" s="58" t="s">
        <v>127</v>
      </c>
      <c r="H149" s="58" t="s">
        <v>53</v>
      </c>
      <c r="I149" s="89" t="s">
        <v>664</v>
      </c>
      <c r="J149" s="89">
        <v>78.8</v>
      </c>
      <c r="K149" s="185">
        <v>0</v>
      </c>
      <c r="L149" s="250">
        <f t="shared" si="5"/>
        <v>26</v>
      </c>
      <c r="M149" s="185">
        <v>26</v>
      </c>
      <c r="N149" s="185">
        <v>0</v>
      </c>
      <c r="O149" s="268">
        <v>0</v>
      </c>
      <c r="P149" s="268">
        <v>26</v>
      </c>
      <c r="Q149" s="278"/>
      <c r="R149" s="111" t="s">
        <v>88</v>
      </c>
      <c r="S149" s="111"/>
      <c r="T149" s="281"/>
      <c r="U149" s="280">
        <f t="shared" si="6"/>
        <v>0</v>
      </c>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c r="ID149" s="28"/>
      <c r="IE149" s="28"/>
      <c r="IF149" s="28"/>
      <c r="IG149" s="28"/>
      <c r="IH149" s="28"/>
      <c r="II149" s="28"/>
      <c r="IJ149" s="28"/>
      <c r="IK149" s="28"/>
      <c r="IL149" s="28"/>
      <c r="IM149" s="28"/>
      <c r="IN149" s="28"/>
    </row>
    <row r="150" s="230" customFormat="1" ht="43.2" spans="1:248">
      <c r="A150" s="249" t="s">
        <v>665</v>
      </c>
      <c r="B150" s="251" t="s">
        <v>666</v>
      </c>
      <c r="C150" s="251" t="s">
        <v>24</v>
      </c>
      <c r="D150" s="252" t="s">
        <v>58</v>
      </c>
      <c r="E150" s="253" t="s">
        <v>667</v>
      </c>
      <c r="F150" s="250">
        <v>97.33</v>
      </c>
      <c r="G150" s="253" t="s">
        <v>60</v>
      </c>
      <c r="H150" s="251" t="s">
        <v>53</v>
      </c>
      <c r="I150" s="251" t="s">
        <v>668</v>
      </c>
      <c r="J150" s="89">
        <v>97.33</v>
      </c>
      <c r="K150" s="89">
        <v>0</v>
      </c>
      <c r="L150" s="250">
        <f t="shared" si="5"/>
        <v>25</v>
      </c>
      <c r="M150" s="109">
        <v>25</v>
      </c>
      <c r="N150" s="89">
        <v>0</v>
      </c>
      <c r="O150" s="268">
        <v>0</v>
      </c>
      <c r="P150" s="268">
        <v>25</v>
      </c>
      <c r="Q150" s="278"/>
      <c r="R150" s="111" t="s">
        <v>107</v>
      </c>
      <c r="S150" s="111"/>
      <c r="T150" s="281"/>
      <c r="U150" s="280">
        <f t="shared" si="6"/>
        <v>0</v>
      </c>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row>
    <row r="151" s="230" customFormat="1" ht="57.6" spans="1:248">
      <c r="A151" s="249" t="s">
        <v>669</v>
      </c>
      <c r="B151" s="58" t="s">
        <v>670</v>
      </c>
      <c r="C151" s="58" t="s">
        <v>24</v>
      </c>
      <c r="D151" s="58" t="s">
        <v>209</v>
      </c>
      <c r="E151" s="71" t="s">
        <v>671</v>
      </c>
      <c r="F151" s="250">
        <v>342.02</v>
      </c>
      <c r="G151" s="212" t="s">
        <v>161</v>
      </c>
      <c r="H151" s="212" t="s">
        <v>53</v>
      </c>
      <c r="I151" s="212" t="s">
        <v>672</v>
      </c>
      <c r="J151" s="89">
        <v>342.02</v>
      </c>
      <c r="K151" s="89">
        <v>0</v>
      </c>
      <c r="L151" s="250">
        <f t="shared" si="5"/>
        <v>24.96</v>
      </c>
      <c r="M151" s="89">
        <v>24.96</v>
      </c>
      <c r="N151" s="89">
        <v>0</v>
      </c>
      <c r="O151" s="268">
        <v>24.96</v>
      </c>
      <c r="P151" s="268">
        <v>0</v>
      </c>
      <c r="Q151" s="290"/>
      <c r="R151" s="291" t="s">
        <v>88</v>
      </c>
      <c r="S151" s="111"/>
      <c r="T151" s="281"/>
      <c r="U151" s="280">
        <f t="shared" si="6"/>
        <v>0</v>
      </c>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row>
    <row r="152" s="230" customFormat="1" ht="43.2" spans="1:248">
      <c r="A152" s="249" t="s">
        <v>673</v>
      </c>
      <c r="B152" s="58" t="s">
        <v>674</v>
      </c>
      <c r="C152" s="58" t="s">
        <v>24</v>
      </c>
      <c r="D152" s="58" t="s">
        <v>209</v>
      </c>
      <c r="E152" s="71" t="s">
        <v>675</v>
      </c>
      <c r="F152" s="250">
        <v>106.45</v>
      </c>
      <c r="G152" s="212" t="s">
        <v>60</v>
      </c>
      <c r="H152" s="212" t="s">
        <v>53</v>
      </c>
      <c r="I152" s="212" t="s">
        <v>676</v>
      </c>
      <c r="J152" s="89">
        <v>106.45</v>
      </c>
      <c r="K152" s="89">
        <v>0</v>
      </c>
      <c r="L152" s="250">
        <f t="shared" si="5"/>
        <v>24.95</v>
      </c>
      <c r="M152" s="89">
        <v>24.95</v>
      </c>
      <c r="N152" s="89">
        <v>0</v>
      </c>
      <c r="O152" s="268">
        <v>24.95</v>
      </c>
      <c r="P152" s="268">
        <v>0</v>
      </c>
      <c r="Q152" s="290"/>
      <c r="R152" s="291" t="s">
        <v>95</v>
      </c>
      <c r="S152" s="111"/>
      <c r="T152" s="281"/>
      <c r="U152" s="280">
        <f t="shared" si="6"/>
        <v>0</v>
      </c>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row>
    <row r="153" s="230" customFormat="1" ht="43.2" spans="1:248">
      <c r="A153" s="249" t="s">
        <v>677</v>
      </c>
      <c r="B153" s="73" t="s">
        <v>678</v>
      </c>
      <c r="C153" s="58" t="s">
        <v>24</v>
      </c>
      <c r="D153" s="252" t="s">
        <v>58</v>
      </c>
      <c r="E153" s="75" t="s">
        <v>679</v>
      </c>
      <c r="F153" s="250">
        <v>246.7</v>
      </c>
      <c r="G153" s="73" t="s">
        <v>251</v>
      </c>
      <c r="H153" s="251" t="s">
        <v>53</v>
      </c>
      <c r="I153" s="73" t="s">
        <v>680</v>
      </c>
      <c r="J153" s="109">
        <v>246.7</v>
      </c>
      <c r="K153" s="109">
        <v>0</v>
      </c>
      <c r="L153" s="250">
        <f t="shared" si="5"/>
        <v>22.09</v>
      </c>
      <c r="M153" s="109">
        <v>22.09</v>
      </c>
      <c r="N153" s="109">
        <v>0</v>
      </c>
      <c r="O153" s="268">
        <v>22.09</v>
      </c>
      <c r="P153" s="268">
        <v>0</v>
      </c>
      <c r="Q153" s="278"/>
      <c r="R153" s="111" t="s">
        <v>62</v>
      </c>
      <c r="S153" s="111"/>
      <c r="T153" s="281"/>
      <c r="U153" s="280">
        <f t="shared" si="6"/>
        <v>0</v>
      </c>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row>
    <row r="154" s="230" customFormat="1" ht="43.2" spans="1:248">
      <c r="A154" s="249" t="s">
        <v>681</v>
      </c>
      <c r="B154" s="73" t="s">
        <v>682</v>
      </c>
      <c r="C154" s="58" t="s">
        <v>24</v>
      </c>
      <c r="D154" s="71" t="s">
        <v>66</v>
      </c>
      <c r="E154" s="75" t="s">
        <v>683</v>
      </c>
      <c r="F154" s="250">
        <v>2069.711044</v>
      </c>
      <c r="G154" s="73" t="s">
        <v>347</v>
      </c>
      <c r="H154" s="71" t="s">
        <v>53</v>
      </c>
      <c r="I154" s="73" t="s">
        <v>684</v>
      </c>
      <c r="J154" s="185">
        <v>2069.711044</v>
      </c>
      <c r="K154" s="185">
        <v>0</v>
      </c>
      <c r="L154" s="250">
        <f t="shared" si="5"/>
        <v>21</v>
      </c>
      <c r="M154" s="185">
        <v>21</v>
      </c>
      <c r="N154" s="185">
        <v>0</v>
      </c>
      <c r="O154" s="268">
        <v>21</v>
      </c>
      <c r="P154" s="268">
        <v>0</v>
      </c>
      <c r="Q154" s="278"/>
      <c r="R154" s="111" t="s">
        <v>62</v>
      </c>
      <c r="S154" s="111"/>
      <c r="T154" s="281"/>
      <c r="U154" s="280">
        <f t="shared" si="6"/>
        <v>0</v>
      </c>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row>
    <row r="155" s="230" customFormat="1" ht="57.6" spans="1:248">
      <c r="A155" s="249" t="s">
        <v>685</v>
      </c>
      <c r="B155" s="73" t="s">
        <v>686</v>
      </c>
      <c r="C155" s="58" t="s">
        <v>24</v>
      </c>
      <c r="D155" s="252" t="s">
        <v>58</v>
      </c>
      <c r="E155" s="71" t="s">
        <v>687</v>
      </c>
      <c r="F155" s="250">
        <v>367.5</v>
      </c>
      <c r="G155" s="89" t="s">
        <v>117</v>
      </c>
      <c r="H155" s="251" t="s">
        <v>53</v>
      </c>
      <c r="I155" s="73" t="s">
        <v>688</v>
      </c>
      <c r="J155" s="109">
        <f>F155</f>
        <v>367.5</v>
      </c>
      <c r="K155" s="109">
        <v>0</v>
      </c>
      <c r="L155" s="250">
        <f t="shared" si="5"/>
        <v>20.58</v>
      </c>
      <c r="M155" s="109">
        <f>J155-346.92</f>
        <v>20.58</v>
      </c>
      <c r="N155" s="109">
        <v>0</v>
      </c>
      <c r="O155" s="268">
        <v>20.58</v>
      </c>
      <c r="P155" s="268">
        <v>0</v>
      </c>
      <c r="Q155" s="278"/>
      <c r="R155" s="111" t="s">
        <v>107</v>
      </c>
      <c r="S155" s="111"/>
      <c r="T155" s="281"/>
      <c r="U155" s="280">
        <f t="shared" si="6"/>
        <v>0</v>
      </c>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row>
    <row r="156" s="230" customFormat="1" ht="43.2" spans="1:248">
      <c r="A156" s="249" t="s">
        <v>689</v>
      </c>
      <c r="B156" s="251" t="s">
        <v>690</v>
      </c>
      <c r="C156" s="251" t="s">
        <v>24</v>
      </c>
      <c r="D156" s="252" t="s">
        <v>58</v>
      </c>
      <c r="E156" s="253" t="s">
        <v>691</v>
      </c>
      <c r="F156" s="250">
        <v>138</v>
      </c>
      <c r="G156" s="253" t="s">
        <v>692</v>
      </c>
      <c r="H156" s="251" t="s">
        <v>53</v>
      </c>
      <c r="I156" s="251" t="s">
        <v>693</v>
      </c>
      <c r="J156" s="89">
        <v>138</v>
      </c>
      <c r="K156" s="89">
        <v>0</v>
      </c>
      <c r="L156" s="250">
        <f t="shared" si="5"/>
        <v>20</v>
      </c>
      <c r="M156" s="89">
        <v>20</v>
      </c>
      <c r="N156" s="89">
        <v>0</v>
      </c>
      <c r="O156" s="268">
        <v>20</v>
      </c>
      <c r="P156" s="268">
        <v>0</v>
      </c>
      <c r="Q156" s="278"/>
      <c r="R156" s="111" t="s">
        <v>88</v>
      </c>
      <c r="S156" s="111"/>
      <c r="T156" s="281"/>
      <c r="U156" s="280">
        <f t="shared" si="6"/>
        <v>0</v>
      </c>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row>
    <row r="157" s="230" customFormat="1" ht="82" customHeight="1" spans="1:248">
      <c r="A157" s="249" t="s">
        <v>694</v>
      </c>
      <c r="B157" s="58" t="s">
        <v>695</v>
      </c>
      <c r="C157" s="58" t="s">
        <v>24</v>
      </c>
      <c r="D157" s="252" t="s">
        <v>58</v>
      </c>
      <c r="E157" s="71" t="s">
        <v>696</v>
      </c>
      <c r="F157" s="250">
        <v>3931.92</v>
      </c>
      <c r="G157" s="58" t="s">
        <v>117</v>
      </c>
      <c r="H157" s="58" t="s">
        <v>53</v>
      </c>
      <c r="I157" s="58" t="s">
        <v>697</v>
      </c>
      <c r="J157" s="89">
        <v>3931.92</v>
      </c>
      <c r="K157" s="89">
        <v>0</v>
      </c>
      <c r="L157" s="250">
        <f t="shared" si="5"/>
        <v>20</v>
      </c>
      <c r="M157" s="89">
        <v>20</v>
      </c>
      <c r="N157" s="89">
        <v>0</v>
      </c>
      <c r="O157" s="268">
        <v>20</v>
      </c>
      <c r="P157" s="268">
        <v>0</v>
      </c>
      <c r="Q157" s="278"/>
      <c r="R157" s="111" t="s">
        <v>95</v>
      </c>
      <c r="S157" s="111"/>
      <c r="T157" s="281"/>
      <c r="U157" s="280">
        <f t="shared" si="6"/>
        <v>0</v>
      </c>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row>
    <row r="158" s="230" customFormat="1" ht="57.6" spans="1:248">
      <c r="A158" s="249" t="s">
        <v>698</v>
      </c>
      <c r="B158" s="73" t="s">
        <v>699</v>
      </c>
      <c r="C158" s="73" t="s">
        <v>24</v>
      </c>
      <c r="D158" s="252" t="s">
        <v>58</v>
      </c>
      <c r="E158" s="75" t="s">
        <v>700</v>
      </c>
      <c r="F158" s="250">
        <v>217.35</v>
      </c>
      <c r="G158" s="73" t="s">
        <v>147</v>
      </c>
      <c r="H158" s="58" t="s">
        <v>53</v>
      </c>
      <c r="I158" s="73" t="s">
        <v>701</v>
      </c>
      <c r="J158" s="185">
        <v>217.35</v>
      </c>
      <c r="K158" s="185">
        <v>0</v>
      </c>
      <c r="L158" s="250">
        <f t="shared" si="5"/>
        <v>20</v>
      </c>
      <c r="M158" s="185">
        <v>20</v>
      </c>
      <c r="N158" s="185">
        <v>0</v>
      </c>
      <c r="O158" s="268">
        <v>0</v>
      </c>
      <c r="P158" s="268">
        <v>20</v>
      </c>
      <c r="Q158" s="278"/>
      <c r="R158" s="111" t="s">
        <v>62</v>
      </c>
      <c r="S158" s="111"/>
      <c r="T158" s="281"/>
      <c r="U158" s="280">
        <f t="shared" si="6"/>
        <v>0</v>
      </c>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row>
    <row r="159" s="230" customFormat="1" ht="43.2" spans="1:248">
      <c r="A159" s="249" t="s">
        <v>702</v>
      </c>
      <c r="B159" s="251" t="s">
        <v>703</v>
      </c>
      <c r="C159" s="251" t="s">
        <v>24</v>
      </c>
      <c r="D159" s="252" t="s">
        <v>58</v>
      </c>
      <c r="E159" s="253" t="s">
        <v>704</v>
      </c>
      <c r="F159" s="250">
        <v>521.5</v>
      </c>
      <c r="G159" s="253" t="s">
        <v>550</v>
      </c>
      <c r="H159" s="251" t="s">
        <v>53</v>
      </c>
      <c r="I159" s="251" t="s">
        <v>705</v>
      </c>
      <c r="J159" s="89">
        <v>521.5</v>
      </c>
      <c r="K159" s="89">
        <v>0</v>
      </c>
      <c r="L159" s="250">
        <f t="shared" si="5"/>
        <v>18</v>
      </c>
      <c r="M159" s="89">
        <v>18</v>
      </c>
      <c r="N159" s="89">
        <v>0</v>
      </c>
      <c r="O159" s="268">
        <v>18</v>
      </c>
      <c r="P159" s="268">
        <v>0</v>
      </c>
      <c r="Q159" s="278"/>
      <c r="R159" s="111" t="s">
        <v>107</v>
      </c>
      <c r="S159" s="111"/>
      <c r="T159" s="281"/>
      <c r="U159" s="280">
        <f t="shared" si="6"/>
        <v>0</v>
      </c>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row>
    <row r="160" s="230" customFormat="1" ht="57.6" spans="1:248">
      <c r="A160" s="249" t="s">
        <v>706</v>
      </c>
      <c r="B160" s="58" t="s">
        <v>707</v>
      </c>
      <c r="C160" s="58" t="s">
        <v>24</v>
      </c>
      <c r="D160" s="58" t="s">
        <v>209</v>
      </c>
      <c r="E160" s="71" t="s">
        <v>708</v>
      </c>
      <c r="F160" s="250">
        <v>40</v>
      </c>
      <c r="G160" s="212" t="s">
        <v>60</v>
      </c>
      <c r="H160" s="212" t="s">
        <v>53</v>
      </c>
      <c r="I160" s="212" t="s">
        <v>709</v>
      </c>
      <c r="J160" s="89">
        <v>40</v>
      </c>
      <c r="K160" s="89">
        <v>0</v>
      </c>
      <c r="L160" s="250">
        <f t="shared" si="5"/>
        <v>17.27</v>
      </c>
      <c r="M160" s="89">
        <v>17.27</v>
      </c>
      <c r="N160" s="89">
        <v>0</v>
      </c>
      <c r="O160" s="268">
        <v>17.27</v>
      </c>
      <c r="P160" s="268">
        <v>0</v>
      </c>
      <c r="Q160" s="290"/>
      <c r="R160" s="291" t="s">
        <v>62</v>
      </c>
      <c r="S160" s="111"/>
      <c r="T160" s="281"/>
      <c r="U160" s="280">
        <f t="shared" si="6"/>
        <v>0</v>
      </c>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row>
    <row r="161" s="230" customFormat="1" ht="43.2" spans="1:248">
      <c r="A161" s="249" t="s">
        <v>710</v>
      </c>
      <c r="B161" s="73" t="s">
        <v>711</v>
      </c>
      <c r="C161" s="73" t="s">
        <v>24</v>
      </c>
      <c r="D161" s="252" t="s">
        <v>58</v>
      </c>
      <c r="E161" s="75" t="s">
        <v>712</v>
      </c>
      <c r="F161" s="250">
        <v>137.5</v>
      </c>
      <c r="G161" s="73" t="s">
        <v>422</v>
      </c>
      <c r="H161" s="73" t="s">
        <v>53</v>
      </c>
      <c r="I161" s="73" t="s">
        <v>713</v>
      </c>
      <c r="J161" s="185">
        <v>137.5</v>
      </c>
      <c r="K161" s="185">
        <v>0</v>
      </c>
      <c r="L161" s="250">
        <f t="shared" si="5"/>
        <v>15</v>
      </c>
      <c r="M161" s="185">
        <v>15</v>
      </c>
      <c r="N161" s="185">
        <v>0</v>
      </c>
      <c r="O161" s="268">
        <v>15</v>
      </c>
      <c r="P161" s="268">
        <v>0</v>
      </c>
      <c r="Q161" s="278"/>
      <c r="R161" s="111" t="s">
        <v>95</v>
      </c>
      <c r="S161" s="111"/>
      <c r="T161" s="281"/>
      <c r="U161" s="280">
        <f t="shared" si="6"/>
        <v>0</v>
      </c>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row>
    <row r="162" s="230" customFormat="1" ht="57.6" spans="1:248">
      <c r="A162" s="249" t="s">
        <v>714</v>
      </c>
      <c r="B162" s="58" t="s">
        <v>715</v>
      </c>
      <c r="C162" s="58" t="s">
        <v>24</v>
      </c>
      <c r="D162" s="58" t="s">
        <v>209</v>
      </c>
      <c r="E162" s="71" t="s">
        <v>716</v>
      </c>
      <c r="F162" s="250">
        <v>692.64</v>
      </c>
      <c r="G162" s="212" t="s">
        <v>60</v>
      </c>
      <c r="H162" s="212" t="s">
        <v>53</v>
      </c>
      <c r="I162" s="212" t="s">
        <v>717</v>
      </c>
      <c r="J162" s="89">
        <v>692.64</v>
      </c>
      <c r="K162" s="89">
        <v>0</v>
      </c>
      <c r="L162" s="250">
        <f t="shared" si="5"/>
        <v>14.96</v>
      </c>
      <c r="M162" s="89">
        <v>14.96</v>
      </c>
      <c r="N162" s="89">
        <v>0</v>
      </c>
      <c r="O162" s="268">
        <v>14.96</v>
      </c>
      <c r="P162" s="268">
        <v>0</v>
      </c>
      <c r="Q162" s="290"/>
      <c r="R162" s="291" t="s">
        <v>107</v>
      </c>
      <c r="S162" s="111"/>
      <c r="T162" s="281"/>
      <c r="U162" s="280">
        <f t="shared" si="6"/>
        <v>0</v>
      </c>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row>
    <row r="163" s="230" customFormat="1" ht="57.6" spans="1:248">
      <c r="A163" s="249" t="s">
        <v>718</v>
      </c>
      <c r="B163" s="251" t="s">
        <v>719</v>
      </c>
      <c r="C163" s="251" t="s">
        <v>24</v>
      </c>
      <c r="D163" s="252" t="s">
        <v>58</v>
      </c>
      <c r="E163" s="253" t="s">
        <v>720</v>
      </c>
      <c r="F163" s="250">
        <v>66.62</v>
      </c>
      <c r="G163" s="253" t="s">
        <v>476</v>
      </c>
      <c r="H163" s="251" t="s">
        <v>53</v>
      </c>
      <c r="I163" s="251" t="s">
        <v>721</v>
      </c>
      <c r="J163" s="89">
        <v>66.62</v>
      </c>
      <c r="K163" s="89">
        <v>0</v>
      </c>
      <c r="L163" s="250">
        <f t="shared" si="5"/>
        <v>13</v>
      </c>
      <c r="M163" s="109">
        <v>13</v>
      </c>
      <c r="N163" s="89">
        <v>0</v>
      </c>
      <c r="O163" s="268">
        <v>0</v>
      </c>
      <c r="P163" s="268">
        <v>13</v>
      </c>
      <c r="Q163" s="278"/>
      <c r="R163" s="111" t="s">
        <v>107</v>
      </c>
      <c r="S163" s="111"/>
      <c r="T163" s="281"/>
      <c r="U163" s="280">
        <f t="shared" si="6"/>
        <v>0</v>
      </c>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row>
    <row r="164" s="230" customFormat="1" ht="57.6" spans="1:248">
      <c r="A164" s="249" t="s">
        <v>722</v>
      </c>
      <c r="B164" s="58" t="s">
        <v>723</v>
      </c>
      <c r="C164" s="58" t="s">
        <v>24</v>
      </c>
      <c r="D164" s="58" t="s">
        <v>209</v>
      </c>
      <c r="E164" s="71" t="s">
        <v>724</v>
      </c>
      <c r="F164" s="250">
        <v>44.18</v>
      </c>
      <c r="G164" s="212" t="s">
        <v>60</v>
      </c>
      <c r="H164" s="212" t="s">
        <v>53</v>
      </c>
      <c r="I164" s="212" t="s">
        <v>725</v>
      </c>
      <c r="J164" s="89">
        <v>44.18</v>
      </c>
      <c r="K164" s="89">
        <v>0</v>
      </c>
      <c r="L164" s="250">
        <f t="shared" ref="L164:L221" si="7">M164+N164</f>
        <v>12.42</v>
      </c>
      <c r="M164" s="89">
        <v>12.42</v>
      </c>
      <c r="N164" s="89">
        <v>0</v>
      </c>
      <c r="O164" s="268">
        <v>12.42</v>
      </c>
      <c r="P164" s="268">
        <v>0</v>
      </c>
      <c r="Q164" s="288"/>
      <c r="R164" s="289" t="s">
        <v>107</v>
      </c>
      <c r="S164" s="111"/>
      <c r="T164" s="281"/>
      <c r="U164" s="280">
        <f t="shared" si="6"/>
        <v>0</v>
      </c>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row>
    <row r="165" s="230" customFormat="1" ht="57.6" spans="1:248">
      <c r="A165" s="249" t="s">
        <v>726</v>
      </c>
      <c r="B165" s="58" t="s">
        <v>727</v>
      </c>
      <c r="C165" s="58" t="s">
        <v>24</v>
      </c>
      <c r="D165" s="252" t="s">
        <v>58</v>
      </c>
      <c r="E165" s="71" t="s">
        <v>728</v>
      </c>
      <c r="F165" s="250">
        <v>225.05</v>
      </c>
      <c r="G165" s="58" t="s">
        <v>147</v>
      </c>
      <c r="H165" s="58" t="s">
        <v>53</v>
      </c>
      <c r="I165" s="89" t="s">
        <v>729</v>
      </c>
      <c r="J165" s="89">
        <v>225.05</v>
      </c>
      <c r="K165" s="185">
        <v>0</v>
      </c>
      <c r="L165" s="250">
        <f t="shared" si="7"/>
        <v>10</v>
      </c>
      <c r="M165" s="185">
        <v>10</v>
      </c>
      <c r="N165" s="185">
        <v>0</v>
      </c>
      <c r="O165" s="268">
        <v>10</v>
      </c>
      <c r="P165" s="268">
        <v>0</v>
      </c>
      <c r="Q165" s="278"/>
      <c r="R165" s="111" t="s">
        <v>62</v>
      </c>
      <c r="S165" s="111"/>
      <c r="T165" s="281"/>
      <c r="U165" s="280">
        <f t="shared" si="6"/>
        <v>0</v>
      </c>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row>
    <row r="166" s="230" customFormat="1" ht="72" spans="1:248">
      <c r="A166" s="249" t="s">
        <v>730</v>
      </c>
      <c r="B166" s="73" t="s">
        <v>731</v>
      </c>
      <c r="C166" s="73" t="s">
        <v>24</v>
      </c>
      <c r="D166" s="252" t="s">
        <v>58</v>
      </c>
      <c r="E166" s="75" t="s">
        <v>732</v>
      </c>
      <c r="F166" s="250">
        <v>265.39</v>
      </c>
      <c r="G166" s="73" t="s">
        <v>147</v>
      </c>
      <c r="H166" s="58" t="s">
        <v>53</v>
      </c>
      <c r="I166" s="73" t="s">
        <v>733</v>
      </c>
      <c r="J166" s="185">
        <v>265.39</v>
      </c>
      <c r="K166" s="185">
        <v>0</v>
      </c>
      <c r="L166" s="250">
        <f t="shared" si="7"/>
        <v>10</v>
      </c>
      <c r="M166" s="185">
        <v>10</v>
      </c>
      <c r="N166" s="185">
        <v>0</v>
      </c>
      <c r="O166" s="268">
        <v>0</v>
      </c>
      <c r="P166" s="268">
        <v>10</v>
      </c>
      <c r="Q166" s="278"/>
      <c r="R166" s="111" t="s">
        <v>107</v>
      </c>
      <c r="S166" s="111"/>
      <c r="T166" s="281"/>
      <c r="U166" s="280">
        <f t="shared" si="6"/>
        <v>0</v>
      </c>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row>
    <row r="167" s="230" customFormat="1" ht="43.2" spans="1:248">
      <c r="A167" s="249" t="s">
        <v>734</v>
      </c>
      <c r="B167" s="58" t="s">
        <v>735</v>
      </c>
      <c r="C167" s="58" t="s">
        <v>24</v>
      </c>
      <c r="D167" s="58" t="s">
        <v>209</v>
      </c>
      <c r="E167" s="71" t="s">
        <v>736</v>
      </c>
      <c r="F167" s="250">
        <v>54.47</v>
      </c>
      <c r="G167" s="292">
        <v>2018</v>
      </c>
      <c r="H167" s="212" t="s">
        <v>53</v>
      </c>
      <c r="I167" s="212" t="s">
        <v>737</v>
      </c>
      <c r="J167" s="89">
        <v>54.47</v>
      </c>
      <c r="K167" s="89">
        <v>0</v>
      </c>
      <c r="L167" s="250">
        <f t="shared" si="7"/>
        <v>8.85</v>
      </c>
      <c r="M167" s="89">
        <v>8.85</v>
      </c>
      <c r="N167" s="89">
        <v>0</v>
      </c>
      <c r="O167" s="268">
        <v>8.85</v>
      </c>
      <c r="P167" s="268">
        <v>0</v>
      </c>
      <c r="Q167" s="288"/>
      <c r="R167" s="289" t="s">
        <v>107</v>
      </c>
      <c r="S167" s="111"/>
      <c r="T167" s="281"/>
      <c r="U167" s="280">
        <f t="shared" si="6"/>
        <v>0</v>
      </c>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row>
    <row r="168" s="230" customFormat="1" ht="72" spans="1:248">
      <c r="A168" s="249" t="s">
        <v>738</v>
      </c>
      <c r="B168" s="251" t="s">
        <v>739</v>
      </c>
      <c r="C168" s="251" t="s">
        <v>24</v>
      </c>
      <c r="D168" s="252" t="s">
        <v>58</v>
      </c>
      <c r="E168" s="253" t="s">
        <v>740</v>
      </c>
      <c r="F168" s="250">
        <v>1202.09</v>
      </c>
      <c r="G168" s="253" t="s">
        <v>741</v>
      </c>
      <c r="H168" s="251" t="s">
        <v>53</v>
      </c>
      <c r="I168" s="251" t="s">
        <v>742</v>
      </c>
      <c r="J168" s="89">
        <v>1202.09</v>
      </c>
      <c r="K168" s="89">
        <v>0</v>
      </c>
      <c r="L168" s="250">
        <f t="shared" si="7"/>
        <v>8</v>
      </c>
      <c r="M168" s="89">
        <v>8</v>
      </c>
      <c r="N168" s="89">
        <v>0</v>
      </c>
      <c r="O168" s="268">
        <v>0</v>
      </c>
      <c r="P168" s="268">
        <v>8</v>
      </c>
      <c r="Q168" s="278"/>
      <c r="R168" s="111" t="s">
        <v>62</v>
      </c>
      <c r="S168" s="111"/>
      <c r="T168" s="281"/>
      <c r="U168" s="280">
        <f t="shared" si="6"/>
        <v>0</v>
      </c>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row>
    <row r="169" s="230" customFormat="1" ht="100.8" spans="1:248">
      <c r="A169" s="249" t="s">
        <v>743</v>
      </c>
      <c r="B169" s="251" t="s">
        <v>744</v>
      </c>
      <c r="C169" s="251" t="s">
        <v>24</v>
      </c>
      <c r="D169" s="252" t="s">
        <v>58</v>
      </c>
      <c r="E169" s="253" t="s">
        <v>745</v>
      </c>
      <c r="F169" s="250">
        <v>1438.83</v>
      </c>
      <c r="G169" s="253" t="s">
        <v>746</v>
      </c>
      <c r="H169" s="251" t="s">
        <v>53</v>
      </c>
      <c r="I169" s="251" t="s">
        <v>747</v>
      </c>
      <c r="J169" s="89">
        <v>1438.83</v>
      </c>
      <c r="K169" s="89">
        <v>0</v>
      </c>
      <c r="L169" s="250">
        <f t="shared" si="7"/>
        <v>0.6</v>
      </c>
      <c r="M169" s="89">
        <v>0.6</v>
      </c>
      <c r="N169" s="89">
        <v>0</v>
      </c>
      <c r="O169" s="268">
        <v>0.6</v>
      </c>
      <c r="P169" s="268">
        <v>0</v>
      </c>
      <c r="Q169" s="278"/>
      <c r="R169" s="111" t="s">
        <v>62</v>
      </c>
      <c r="S169" s="111"/>
      <c r="T169" s="281"/>
      <c r="U169" s="280">
        <f t="shared" si="6"/>
        <v>0</v>
      </c>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row>
    <row r="170" s="230" customFormat="1" ht="43.2" spans="1:248">
      <c r="A170" s="249" t="s">
        <v>748</v>
      </c>
      <c r="B170" s="73" t="s">
        <v>749</v>
      </c>
      <c r="C170" s="73" t="s">
        <v>24</v>
      </c>
      <c r="D170" s="252" t="s">
        <v>58</v>
      </c>
      <c r="E170" s="75" t="s">
        <v>750</v>
      </c>
      <c r="F170" s="250">
        <v>237.82</v>
      </c>
      <c r="G170" s="73" t="s">
        <v>741</v>
      </c>
      <c r="H170" s="73" t="s">
        <v>53</v>
      </c>
      <c r="I170" s="73" t="s">
        <v>751</v>
      </c>
      <c r="J170" s="185">
        <v>237.82</v>
      </c>
      <c r="K170" s="185">
        <v>0</v>
      </c>
      <c r="L170" s="250">
        <f t="shared" si="7"/>
        <v>7.5</v>
      </c>
      <c r="M170" s="185">
        <v>7.5</v>
      </c>
      <c r="N170" s="185">
        <v>0</v>
      </c>
      <c r="O170" s="268">
        <v>7.5</v>
      </c>
      <c r="P170" s="268">
        <v>0</v>
      </c>
      <c r="Q170" s="278"/>
      <c r="R170" s="111" t="s">
        <v>378</v>
      </c>
      <c r="S170" s="111"/>
      <c r="T170" s="281"/>
      <c r="U170" s="280">
        <f t="shared" si="6"/>
        <v>0</v>
      </c>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row>
    <row r="171" s="230" customFormat="1" ht="43.2" spans="1:248">
      <c r="A171" s="249" t="s">
        <v>752</v>
      </c>
      <c r="B171" s="251" t="s">
        <v>753</v>
      </c>
      <c r="C171" s="251" t="s">
        <v>24</v>
      </c>
      <c r="D171" s="252" t="s">
        <v>58</v>
      </c>
      <c r="E171" s="253" t="s">
        <v>754</v>
      </c>
      <c r="F171" s="250">
        <v>133.83</v>
      </c>
      <c r="G171" s="253" t="s">
        <v>513</v>
      </c>
      <c r="H171" s="251" t="s">
        <v>53</v>
      </c>
      <c r="I171" s="251" t="s">
        <v>755</v>
      </c>
      <c r="J171" s="89">
        <v>133.83</v>
      </c>
      <c r="K171" s="89">
        <v>0</v>
      </c>
      <c r="L171" s="250">
        <f t="shared" si="7"/>
        <v>6.6</v>
      </c>
      <c r="M171" s="89">
        <v>6.6</v>
      </c>
      <c r="N171" s="89">
        <v>0</v>
      </c>
      <c r="O171" s="268">
        <v>6.6</v>
      </c>
      <c r="P171" s="268">
        <v>0</v>
      </c>
      <c r="Q171" s="278"/>
      <c r="R171" s="111" t="s">
        <v>107</v>
      </c>
      <c r="S171" s="111"/>
      <c r="T171" s="281"/>
      <c r="U171" s="280">
        <f t="shared" si="6"/>
        <v>0</v>
      </c>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row>
    <row r="172" s="230" customFormat="1" ht="43.2" spans="1:248">
      <c r="A172" s="249" t="s">
        <v>756</v>
      </c>
      <c r="B172" s="251" t="s">
        <v>757</v>
      </c>
      <c r="C172" s="251" t="s">
        <v>24</v>
      </c>
      <c r="D172" s="252" t="s">
        <v>58</v>
      </c>
      <c r="E172" s="253" t="s">
        <v>758</v>
      </c>
      <c r="F172" s="250">
        <v>135.53</v>
      </c>
      <c r="G172" s="253" t="s">
        <v>476</v>
      </c>
      <c r="H172" s="251" t="s">
        <v>53</v>
      </c>
      <c r="I172" s="251" t="s">
        <v>759</v>
      </c>
      <c r="J172" s="89">
        <v>135.53</v>
      </c>
      <c r="K172" s="89">
        <v>0</v>
      </c>
      <c r="L172" s="250">
        <f t="shared" si="7"/>
        <v>6</v>
      </c>
      <c r="M172" s="89">
        <v>6</v>
      </c>
      <c r="N172" s="89">
        <v>0</v>
      </c>
      <c r="O172" s="268">
        <v>6</v>
      </c>
      <c r="P172" s="268">
        <v>0</v>
      </c>
      <c r="Q172" s="278"/>
      <c r="R172" s="111" t="s">
        <v>107</v>
      </c>
      <c r="S172" s="111"/>
      <c r="T172" s="281"/>
      <c r="U172" s="280">
        <f t="shared" si="6"/>
        <v>0</v>
      </c>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row>
    <row r="173" s="230" customFormat="1" ht="43.2" spans="1:248">
      <c r="A173" s="249" t="s">
        <v>760</v>
      </c>
      <c r="B173" s="251" t="s">
        <v>761</v>
      </c>
      <c r="C173" s="251" t="s">
        <v>24</v>
      </c>
      <c r="D173" s="252" t="s">
        <v>58</v>
      </c>
      <c r="E173" s="253" t="s">
        <v>762</v>
      </c>
      <c r="F173" s="250">
        <v>346.66</v>
      </c>
      <c r="G173" s="253" t="s">
        <v>161</v>
      </c>
      <c r="H173" s="251" t="s">
        <v>53</v>
      </c>
      <c r="I173" s="251" t="s">
        <v>763</v>
      </c>
      <c r="J173" s="89">
        <v>346.66</v>
      </c>
      <c r="K173" s="89">
        <v>0</v>
      </c>
      <c r="L173" s="250">
        <f t="shared" si="7"/>
        <v>5.7</v>
      </c>
      <c r="M173" s="89">
        <v>5.7</v>
      </c>
      <c r="N173" s="89">
        <v>0</v>
      </c>
      <c r="O173" s="268">
        <v>5.7</v>
      </c>
      <c r="P173" s="268">
        <v>0</v>
      </c>
      <c r="Q173" s="278"/>
      <c r="R173" s="111" t="s">
        <v>62</v>
      </c>
      <c r="S173" s="111"/>
      <c r="T173" s="281"/>
      <c r="U173" s="280">
        <f t="shared" si="6"/>
        <v>0</v>
      </c>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row>
    <row r="174" s="230" customFormat="1" ht="43.2" spans="1:248">
      <c r="A174" s="249" t="s">
        <v>764</v>
      </c>
      <c r="B174" s="251" t="s">
        <v>765</v>
      </c>
      <c r="C174" s="251" t="s">
        <v>24</v>
      </c>
      <c r="D174" s="252" t="s">
        <v>58</v>
      </c>
      <c r="E174" s="253" t="s">
        <v>766</v>
      </c>
      <c r="F174" s="250">
        <v>747.21</v>
      </c>
      <c r="G174" s="253" t="s">
        <v>476</v>
      </c>
      <c r="H174" s="251" t="s">
        <v>53</v>
      </c>
      <c r="I174" s="251" t="s">
        <v>767</v>
      </c>
      <c r="J174" s="89">
        <v>747.21</v>
      </c>
      <c r="K174" s="89">
        <v>0</v>
      </c>
      <c r="L174" s="250">
        <f t="shared" si="7"/>
        <v>5.7</v>
      </c>
      <c r="M174" s="89">
        <v>5.7</v>
      </c>
      <c r="N174" s="89">
        <v>0</v>
      </c>
      <c r="O174" s="268">
        <v>0</v>
      </c>
      <c r="P174" s="268">
        <v>5.7</v>
      </c>
      <c r="Q174" s="278"/>
      <c r="R174" s="111" t="s">
        <v>107</v>
      </c>
      <c r="S174" s="111"/>
      <c r="T174" s="281"/>
      <c r="U174" s="280">
        <f t="shared" si="6"/>
        <v>0</v>
      </c>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row>
    <row r="175" s="230" customFormat="1" ht="43.2" spans="1:248">
      <c r="A175" s="249" t="s">
        <v>768</v>
      </c>
      <c r="B175" s="251" t="s">
        <v>769</v>
      </c>
      <c r="C175" s="251" t="s">
        <v>24</v>
      </c>
      <c r="D175" s="252" t="s">
        <v>58</v>
      </c>
      <c r="E175" s="253" t="s">
        <v>770</v>
      </c>
      <c r="F175" s="250">
        <v>39.1</v>
      </c>
      <c r="G175" s="253" t="s">
        <v>476</v>
      </c>
      <c r="H175" s="251" t="s">
        <v>53</v>
      </c>
      <c r="I175" s="251" t="s">
        <v>771</v>
      </c>
      <c r="J175" s="270">
        <v>39.1</v>
      </c>
      <c r="K175" s="89">
        <v>0</v>
      </c>
      <c r="L175" s="250">
        <f t="shared" si="7"/>
        <v>5.2</v>
      </c>
      <c r="M175" s="109">
        <v>5.2</v>
      </c>
      <c r="N175" s="89">
        <v>0</v>
      </c>
      <c r="O175" s="268">
        <v>5.2</v>
      </c>
      <c r="P175" s="268">
        <v>0</v>
      </c>
      <c r="Q175" s="278"/>
      <c r="R175" s="111" t="s">
        <v>62</v>
      </c>
      <c r="S175" s="111"/>
      <c r="T175" s="281"/>
      <c r="U175" s="280">
        <f t="shared" si="6"/>
        <v>0</v>
      </c>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row>
    <row r="176" s="230" customFormat="1" ht="77" customHeight="1" spans="1:248">
      <c r="A176" s="249" t="s">
        <v>772</v>
      </c>
      <c r="B176" s="251" t="s">
        <v>773</v>
      </c>
      <c r="C176" s="251" t="s">
        <v>24</v>
      </c>
      <c r="D176" s="252" t="s">
        <v>58</v>
      </c>
      <c r="E176" s="253" t="s">
        <v>774</v>
      </c>
      <c r="F176" s="250">
        <v>73.06</v>
      </c>
      <c r="G176" s="253" t="s">
        <v>117</v>
      </c>
      <c r="H176" s="251" t="s">
        <v>53</v>
      </c>
      <c r="I176" s="251" t="s">
        <v>775</v>
      </c>
      <c r="J176" s="89">
        <v>73.06</v>
      </c>
      <c r="K176" s="89">
        <v>0</v>
      </c>
      <c r="L176" s="250">
        <f t="shared" si="7"/>
        <v>1.5</v>
      </c>
      <c r="M176" s="89">
        <v>1.5</v>
      </c>
      <c r="N176" s="89">
        <v>0</v>
      </c>
      <c r="O176" s="268">
        <v>1.5</v>
      </c>
      <c r="P176" s="268">
        <v>0</v>
      </c>
      <c r="Q176" s="278"/>
      <c r="R176" s="111" t="s">
        <v>62</v>
      </c>
      <c r="S176" s="111"/>
      <c r="T176" s="281"/>
      <c r="U176" s="280">
        <f t="shared" si="6"/>
        <v>0</v>
      </c>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row>
    <row r="177" s="230" customFormat="1" ht="72" spans="1:248">
      <c r="A177" s="249" t="s">
        <v>776</v>
      </c>
      <c r="B177" s="251" t="s">
        <v>777</v>
      </c>
      <c r="C177" s="251" t="s">
        <v>24</v>
      </c>
      <c r="D177" s="252" t="s">
        <v>58</v>
      </c>
      <c r="E177" s="253" t="s">
        <v>778</v>
      </c>
      <c r="F177" s="250">
        <v>605.67</v>
      </c>
      <c r="G177" s="253" t="s">
        <v>476</v>
      </c>
      <c r="H177" s="251" t="s">
        <v>53</v>
      </c>
      <c r="I177" s="251" t="s">
        <v>779</v>
      </c>
      <c r="J177" s="89">
        <v>605.67</v>
      </c>
      <c r="K177" s="89">
        <v>0</v>
      </c>
      <c r="L177" s="250">
        <f t="shared" si="7"/>
        <v>4.4</v>
      </c>
      <c r="M177" s="89">
        <v>4.4</v>
      </c>
      <c r="N177" s="89">
        <v>0</v>
      </c>
      <c r="O177" s="268">
        <v>4.4</v>
      </c>
      <c r="P177" s="268">
        <v>0</v>
      </c>
      <c r="Q177" s="278"/>
      <c r="R177" s="111" t="s">
        <v>62</v>
      </c>
      <c r="S177" s="111"/>
      <c r="T177" s="281"/>
      <c r="U177" s="280">
        <f t="shared" si="6"/>
        <v>0</v>
      </c>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8"/>
      <c r="GR177" s="28"/>
      <c r="GS177" s="28"/>
      <c r="GT177" s="28"/>
      <c r="GU177" s="28"/>
      <c r="GV177" s="28"/>
      <c r="GW177" s="28"/>
      <c r="GX177" s="28"/>
      <c r="GY177" s="28"/>
      <c r="GZ177" s="28"/>
      <c r="HA177" s="28"/>
      <c r="HB177" s="28"/>
      <c r="HC177" s="28"/>
      <c r="HD177" s="28"/>
      <c r="HE177" s="28"/>
      <c r="HF177" s="28"/>
      <c r="HG177" s="28"/>
      <c r="HH177" s="28"/>
      <c r="HI177" s="28"/>
      <c r="HJ177" s="28"/>
      <c r="HK177" s="28"/>
      <c r="HL177" s="28"/>
      <c r="HM177" s="28"/>
      <c r="HN177" s="28"/>
      <c r="HO177" s="28"/>
      <c r="HP177" s="28"/>
      <c r="HQ177" s="28"/>
      <c r="HR177" s="28"/>
      <c r="HS177" s="28"/>
      <c r="HT177" s="28"/>
      <c r="HU177" s="28"/>
      <c r="HV177" s="28"/>
      <c r="HW177" s="28"/>
      <c r="HX177" s="28"/>
      <c r="HY177" s="28"/>
      <c r="HZ177" s="28"/>
      <c r="IA177" s="28"/>
      <c r="IB177" s="28"/>
      <c r="IC177" s="28"/>
      <c r="ID177" s="28"/>
      <c r="IE177" s="28"/>
      <c r="IF177" s="28"/>
      <c r="IG177" s="28"/>
      <c r="IH177" s="28"/>
      <c r="II177" s="28"/>
      <c r="IJ177" s="28"/>
      <c r="IK177" s="28"/>
      <c r="IL177" s="28"/>
      <c r="IM177" s="28"/>
      <c r="IN177" s="28"/>
    </row>
    <row r="178" s="230" customFormat="1" ht="43.2" spans="1:248">
      <c r="A178" s="249" t="s">
        <v>780</v>
      </c>
      <c r="B178" s="58" t="s">
        <v>781</v>
      </c>
      <c r="C178" s="58" t="s">
        <v>24</v>
      </c>
      <c r="D178" s="58" t="s">
        <v>209</v>
      </c>
      <c r="E178" s="71" t="s">
        <v>782</v>
      </c>
      <c r="F178" s="250">
        <v>49.47</v>
      </c>
      <c r="G178" s="292">
        <v>2018</v>
      </c>
      <c r="H178" s="212" t="s">
        <v>53</v>
      </c>
      <c r="I178" s="212" t="s">
        <v>783</v>
      </c>
      <c r="J178" s="89">
        <v>49.47</v>
      </c>
      <c r="K178" s="89">
        <v>0</v>
      </c>
      <c r="L178" s="250">
        <f t="shared" si="7"/>
        <v>4.36</v>
      </c>
      <c r="M178" s="89">
        <v>4.36</v>
      </c>
      <c r="N178" s="89">
        <v>0</v>
      </c>
      <c r="O178" s="268">
        <v>4.36</v>
      </c>
      <c r="P178" s="268">
        <v>0</v>
      </c>
      <c r="Q178" s="288"/>
      <c r="R178" s="289" t="s">
        <v>107</v>
      </c>
      <c r="S178" s="111"/>
      <c r="T178" s="281"/>
      <c r="U178" s="280">
        <f t="shared" si="6"/>
        <v>0</v>
      </c>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c r="HG178" s="28"/>
      <c r="HH178" s="28"/>
      <c r="HI178" s="28"/>
      <c r="HJ178" s="28"/>
      <c r="HK178" s="28"/>
      <c r="HL178" s="28"/>
      <c r="HM178" s="28"/>
      <c r="HN178" s="28"/>
      <c r="HO178" s="28"/>
      <c r="HP178" s="28"/>
      <c r="HQ178" s="28"/>
      <c r="HR178" s="28"/>
      <c r="HS178" s="28"/>
      <c r="HT178" s="28"/>
      <c r="HU178" s="28"/>
      <c r="HV178" s="28"/>
      <c r="HW178" s="28"/>
      <c r="HX178" s="28"/>
      <c r="HY178" s="28"/>
      <c r="HZ178" s="28"/>
      <c r="IA178" s="28"/>
      <c r="IB178" s="28"/>
      <c r="IC178" s="28"/>
      <c r="ID178" s="28"/>
      <c r="IE178" s="28"/>
      <c r="IF178" s="28"/>
      <c r="IG178" s="28"/>
      <c r="IH178" s="28"/>
      <c r="II178" s="28"/>
      <c r="IJ178" s="28"/>
      <c r="IK178" s="28"/>
      <c r="IL178" s="28"/>
      <c r="IM178" s="28"/>
      <c r="IN178" s="28"/>
    </row>
    <row r="179" s="230" customFormat="1" ht="43.2" spans="1:248">
      <c r="A179" s="249" t="s">
        <v>784</v>
      </c>
      <c r="B179" s="251" t="s">
        <v>785</v>
      </c>
      <c r="C179" s="251" t="s">
        <v>24</v>
      </c>
      <c r="D179" s="252" t="s">
        <v>58</v>
      </c>
      <c r="E179" s="253" t="s">
        <v>786</v>
      </c>
      <c r="F179" s="250">
        <v>58.49</v>
      </c>
      <c r="G179" s="253" t="s">
        <v>513</v>
      </c>
      <c r="H179" s="251" t="s">
        <v>53</v>
      </c>
      <c r="I179" s="251" t="s">
        <v>787</v>
      </c>
      <c r="J179" s="89">
        <v>58.49</v>
      </c>
      <c r="K179" s="89">
        <v>0</v>
      </c>
      <c r="L179" s="250">
        <f t="shared" si="7"/>
        <v>4</v>
      </c>
      <c r="M179" s="89">
        <v>4</v>
      </c>
      <c r="N179" s="89">
        <v>0</v>
      </c>
      <c r="O179" s="268">
        <v>4</v>
      </c>
      <c r="P179" s="268">
        <v>0</v>
      </c>
      <c r="Q179" s="278"/>
      <c r="R179" s="111" t="s">
        <v>107</v>
      </c>
      <c r="S179" s="111"/>
      <c r="T179" s="281"/>
      <c r="U179" s="280">
        <f t="shared" si="6"/>
        <v>0</v>
      </c>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row>
    <row r="180" s="230" customFormat="1" ht="43.2" spans="1:248">
      <c r="A180" s="249" t="s">
        <v>788</v>
      </c>
      <c r="B180" s="251" t="s">
        <v>789</v>
      </c>
      <c r="C180" s="251" t="s">
        <v>24</v>
      </c>
      <c r="D180" s="252" t="s">
        <v>58</v>
      </c>
      <c r="E180" s="253" t="s">
        <v>790</v>
      </c>
      <c r="F180" s="250">
        <v>450</v>
      </c>
      <c r="G180" s="253" t="s">
        <v>791</v>
      </c>
      <c r="H180" s="251" t="s">
        <v>53</v>
      </c>
      <c r="I180" s="251" t="s">
        <v>792</v>
      </c>
      <c r="J180" s="109">
        <v>450</v>
      </c>
      <c r="K180" s="89">
        <v>0</v>
      </c>
      <c r="L180" s="250">
        <f t="shared" si="7"/>
        <v>4</v>
      </c>
      <c r="M180" s="109">
        <v>4</v>
      </c>
      <c r="N180" s="89">
        <v>0</v>
      </c>
      <c r="O180" s="268">
        <v>4</v>
      </c>
      <c r="P180" s="268">
        <v>0</v>
      </c>
      <c r="Q180" s="278"/>
      <c r="R180" s="111" t="s">
        <v>107</v>
      </c>
      <c r="S180" s="111"/>
      <c r="T180" s="281"/>
      <c r="U180" s="280">
        <f t="shared" si="6"/>
        <v>0</v>
      </c>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c r="HG180" s="28"/>
      <c r="HH180" s="28"/>
      <c r="HI180" s="28"/>
      <c r="HJ180" s="28"/>
      <c r="HK180" s="28"/>
      <c r="HL180" s="28"/>
      <c r="HM180" s="28"/>
      <c r="HN180" s="28"/>
      <c r="HO180" s="28"/>
      <c r="HP180" s="28"/>
      <c r="HQ180" s="28"/>
      <c r="HR180" s="28"/>
      <c r="HS180" s="28"/>
      <c r="HT180" s="28"/>
      <c r="HU180" s="28"/>
      <c r="HV180" s="28"/>
      <c r="HW180" s="28"/>
      <c r="HX180" s="28"/>
      <c r="HY180" s="28"/>
      <c r="HZ180" s="28"/>
      <c r="IA180" s="28"/>
      <c r="IB180" s="28"/>
      <c r="IC180" s="28"/>
      <c r="ID180" s="28"/>
      <c r="IE180" s="28"/>
      <c r="IF180" s="28"/>
      <c r="IG180" s="28"/>
      <c r="IH180" s="28"/>
      <c r="II180" s="28"/>
      <c r="IJ180" s="28"/>
      <c r="IK180" s="28"/>
      <c r="IL180" s="28"/>
      <c r="IM180" s="28"/>
      <c r="IN180" s="28"/>
    </row>
    <row r="181" s="230" customFormat="1" ht="57.6" spans="1:248">
      <c r="A181" s="249" t="s">
        <v>793</v>
      </c>
      <c r="B181" s="251" t="s">
        <v>794</v>
      </c>
      <c r="C181" s="251" t="s">
        <v>24</v>
      </c>
      <c r="D181" s="252" t="s">
        <v>58</v>
      </c>
      <c r="E181" s="253" t="s">
        <v>795</v>
      </c>
      <c r="F181" s="250">
        <v>131.59</v>
      </c>
      <c r="G181" s="253" t="s">
        <v>796</v>
      </c>
      <c r="H181" s="251" t="s">
        <v>53</v>
      </c>
      <c r="I181" s="251" t="s">
        <v>797</v>
      </c>
      <c r="J181" s="89">
        <v>131.59</v>
      </c>
      <c r="K181" s="89">
        <v>0</v>
      </c>
      <c r="L181" s="250">
        <f t="shared" si="7"/>
        <v>3.5</v>
      </c>
      <c r="M181" s="109">
        <v>3.5</v>
      </c>
      <c r="N181" s="89">
        <v>0</v>
      </c>
      <c r="O181" s="268">
        <v>3.5</v>
      </c>
      <c r="P181" s="268">
        <v>0</v>
      </c>
      <c r="Q181" s="278"/>
      <c r="R181" s="111" t="s">
        <v>107</v>
      </c>
      <c r="S181" s="111"/>
      <c r="T181" s="281"/>
      <c r="U181" s="280">
        <f t="shared" si="6"/>
        <v>0</v>
      </c>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c r="GG181" s="28"/>
      <c r="GH181" s="28"/>
      <c r="GI181" s="28"/>
      <c r="GJ181" s="28"/>
      <c r="GK181" s="28"/>
      <c r="GL181" s="28"/>
      <c r="GM181" s="28"/>
      <c r="GN181" s="28"/>
      <c r="GO181" s="28"/>
      <c r="GP181" s="28"/>
      <c r="GQ181" s="28"/>
      <c r="GR181" s="28"/>
      <c r="GS181" s="28"/>
      <c r="GT181" s="28"/>
      <c r="GU181" s="28"/>
      <c r="GV181" s="28"/>
      <c r="GW181" s="28"/>
      <c r="GX181" s="28"/>
      <c r="GY181" s="28"/>
      <c r="GZ181" s="28"/>
      <c r="HA181" s="28"/>
      <c r="HB181" s="28"/>
      <c r="HC181" s="28"/>
      <c r="HD181" s="28"/>
      <c r="HE181" s="28"/>
      <c r="HF181" s="28"/>
      <c r="HG181" s="28"/>
      <c r="HH181" s="28"/>
      <c r="HI181" s="28"/>
      <c r="HJ181" s="28"/>
      <c r="HK181" s="28"/>
      <c r="HL181" s="28"/>
      <c r="HM181" s="28"/>
      <c r="HN181" s="28"/>
      <c r="HO181" s="28"/>
      <c r="HP181" s="28"/>
      <c r="HQ181" s="28"/>
      <c r="HR181" s="28"/>
      <c r="HS181" s="28"/>
      <c r="HT181" s="28"/>
      <c r="HU181" s="28"/>
      <c r="HV181" s="28"/>
      <c r="HW181" s="28"/>
      <c r="HX181" s="28"/>
      <c r="HY181" s="28"/>
      <c r="HZ181" s="28"/>
      <c r="IA181" s="28"/>
      <c r="IB181" s="28"/>
      <c r="IC181" s="28"/>
      <c r="ID181" s="28"/>
      <c r="IE181" s="28"/>
      <c r="IF181" s="28"/>
      <c r="IG181" s="28"/>
      <c r="IH181" s="28"/>
      <c r="II181" s="28"/>
      <c r="IJ181" s="28"/>
      <c r="IK181" s="28"/>
      <c r="IL181" s="28"/>
      <c r="IM181" s="28"/>
      <c r="IN181" s="28"/>
    </row>
    <row r="182" s="230" customFormat="1" ht="43.2" spans="1:248">
      <c r="A182" s="249" t="s">
        <v>798</v>
      </c>
      <c r="B182" s="251" t="s">
        <v>799</v>
      </c>
      <c r="C182" s="251" t="s">
        <v>24</v>
      </c>
      <c r="D182" s="252" t="s">
        <v>58</v>
      </c>
      <c r="E182" s="253" t="s">
        <v>800</v>
      </c>
      <c r="F182" s="250">
        <v>39.45</v>
      </c>
      <c r="G182" s="253" t="s">
        <v>422</v>
      </c>
      <c r="H182" s="251" t="s">
        <v>53</v>
      </c>
      <c r="I182" s="251" t="s">
        <v>801</v>
      </c>
      <c r="J182" s="89">
        <v>39.45</v>
      </c>
      <c r="K182" s="89">
        <v>0</v>
      </c>
      <c r="L182" s="250">
        <f t="shared" si="7"/>
        <v>3.3</v>
      </c>
      <c r="M182" s="89">
        <v>3.3</v>
      </c>
      <c r="N182" s="89">
        <v>0</v>
      </c>
      <c r="O182" s="268">
        <v>3.3</v>
      </c>
      <c r="P182" s="268">
        <v>0</v>
      </c>
      <c r="Q182" s="278"/>
      <c r="R182" s="111" t="s">
        <v>95</v>
      </c>
      <c r="S182" s="111"/>
      <c r="T182" s="281"/>
      <c r="U182" s="280">
        <f t="shared" si="6"/>
        <v>0</v>
      </c>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c r="FY182" s="28"/>
      <c r="FZ182" s="28"/>
      <c r="GA182" s="28"/>
      <c r="GB182" s="28"/>
      <c r="GC182" s="28"/>
      <c r="GD182" s="28"/>
      <c r="GE182" s="28"/>
      <c r="GF182" s="28"/>
      <c r="GG182" s="28"/>
      <c r="GH182" s="28"/>
      <c r="GI182" s="28"/>
      <c r="GJ182" s="28"/>
      <c r="GK182" s="28"/>
      <c r="GL182" s="28"/>
      <c r="GM182" s="28"/>
      <c r="GN182" s="28"/>
      <c r="GO182" s="28"/>
      <c r="GP182" s="28"/>
      <c r="GQ182" s="28"/>
      <c r="GR182" s="28"/>
      <c r="GS182" s="28"/>
      <c r="GT182" s="28"/>
      <c r="GU182" s="28"/>
      <c r="GV182" s="28"/>
      <c r="GW182" s="28"/>
      <c r="GX182" s="28"/>
      <c r="GY182" s="28"/>
      <c r="GZ182" s="28"/>
      <c r="HA182" s="28"/>
      <c r="HB182" s="28"/>
      <c r="HC182" s="28"/>
      <c r="HD182" s="28"/>
      <c r="HE182" s="28"/>
      <c r="HF182" s="28"/>
      <c r="HG182" s="28"/>
      <c r="HH182" s="28"/>
      <c r="HI182" s="28"/>
      <c r="HJ182" s="28"/>
      <c r="HK182" s="28"/>
      <c r="HL182" s="28"/>
      <c r="HM182" s="28"/>
      <c r="HN182" s="28"/>
      <c r="HO182" s="28"/>
      <c r="HP182" s="28"/>
      <c r="HQ182" s="28"/>
      <c r="HR182" s="28"/>
      <c r="HS182" s="28"/>
      <c r="HT182" s="28"/>
      <c r="HU182" s="28"/>
      <c r="HV182" s="28"/>
      <c r="HW182" s="28"/>
      <c r="HX182" s="28"/>
      <c r="HY182" s="28"/>
      <c r="HZ182" s="28"/>
      <c r="IA182" s="28"/>
      <c r="IB182" s="28"/>
      <c r="IC182" s="28"/>
      <c r="ID182" s="28"/>
      <c r="IE182" s="28"/>
      <c r="IF182" s="28"/>
      <c r="IG182" s="28"/>
      <c r="IH182" s="28"/>
      <c r="II182" s="28"/>
      <c r="IJ182" s="28"/>
      <c r="IK182" s="28"/>
      <c r="IL182" s="28"/>
      <c r="IM182" s="28"/>
      <c r="IN182" s="28"/>
    </row>
    <row r="183" s="230" customFormat="1" ht="43.2" spans="1:248">
      <c r="A183" s="249" t="s">
        <v>802</v>
      </c>
      <c r="B183" s="58" t="s">
        <v>803</v>
      </c>
      <c r="C183" s="58" t="s">
        <v>24</v>
      </c>
      <c r="D183" s="58" t="s">
        <v>209</v>
      </c>
      <c r="E183" s="71" t="s">
        <v>804</v>
      </c>
      <c r="F183" s="250">
        <v>265.42</v>
      </c>
      <c r="G183" s="292">
        <v>2016</v>
      </c>
      <c r="H183" s="212" t="s">
        <v>53</v>
      </c>
      <c r="I183" s="212" t="s">
        <v>805</v>
      </c>
      <c r="J183" s="89">
        <v>265.42</v>
      </c>
      <c r="K183" s="89">
        <v>0</v>
      </c>
      <c r="L183" s="250">
        <f t="shared" si="7"/>
        <v>3.22</v>
      </c>
      <c r="M183" s="89">
        <v>3.22</v>
      </c>
      <c r="N183" s="89">
        <v>0</v>
      </c>
      <c r="O183" s="268">
        <v>3.22</v>
      </c>
      <c r="P183" s="268">
        <v>0</v>
      </c>
      <c r="Q183" s="290"/>
      <c r="R183" s="291" t="s">
        <v>107</v>
      </c>
      <c r="S183" s="111"/>
      <c r="T183" s="281"/>
      <c r="U183" s="280">
        <f t="shared" si="6"/>
        <v>0</v>
      </c>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c r="GG183" s="28"/>
      <c r="GH183" s="28"/>
      <c r="GI183" s="28"/>
      <c r="GJ183" s="28"/>
      <c r="GK183" s="28"/>
      <c r="GL183" s="28"/>
      <c r="GM183" s="28"/>
      <c r="GN183" s="28"/>
      <c r="GO183" s="28"/>
      <c r="GP183" s="28"/>
      <c r="GQ183" s="28"/>
      <c r="GR183" s="28"/>
      <c r="GS183" s="28"/>
      <c r="GT183" s="28"/>
      <c r="GU183" s="28"/>
      <c r="GV183" s="28"/>
      <c r="GW183" s="28"/>
      <c r="GX183" s="28"/>
      <c r="GY183" s="28"/>
      <c r="GZ183" s="28"/>
      <c r="HA183" s="28"/>
      <c r="HB183" s="28"/>
      <c r="HC183" s="28"/>
      <c r="HD183" s="28"/>
      <c r="HE183" s="28"/>
      <c r="HF183" s="28"/>
      <c r="HG183" s="28"/>
      <c r="HH183" s="28"/>
      <c r="HI183" s="28"/>
      <c r="HJ183" s="28"/>
      <c r="HK183" s="28"/>
      <c r="HL183" s="28"/>
      <c r="HM183" s="28"/>
      <c r="HN183" s="28"/>
      <c r="HO183" s="28"/>
      <c r="HP183" s="28"/>
      <c r="HQ183" s="28"/>
      <c r="HR183" s="28"/>
      <c r="HS183" s="28"/>
      <c r="HT183" s="28"/>
      <c r="HU183" s="28"/>
      <c r="HV183" s="28"/>
      <c r="HW183" s="28"/>
      <c r="HX183" s="28"/>
      <c r="HY183" s="28"/>
      <c r="HZ183" s="28"/>
      <c r="IA183" s="28"/>
      <c r="IB183" s="28"/>
      <c r="IC183" s="28"/>
      <c r="ID183" s="28"/>
      <c r="IE183" s="28"/>
      <c r="IF183" s="28"/>
      <c r="IG183" s="28"/>
      <c r="IH183" s="28"/>
      <c r="II183" s="28"/>
      <c r="IJ183" s="28"/>
      <c r="IK183" s="28"/>
      <c r="IL183" s="28"/>
      <c r="IM183" s="28"/>
      <c r="IN183" s="28"/>
    </row>
    <row r="184" s="230" customFormat="1" ht="43.2" spans="1:248">
      <c r="A184" s="249" t="s">
        <v>806</v>
      </c>
      <c r="B184" s="251" t="s">
        <v>807</v>
      </c>
      <c r="C184" s="251" t="s">
        <v>24</v>
      </c>
      <c r="D184" s="252" t="s">
        <v>58</v>
      </c>
      <c r="E184" s="253" t="s">
        <v>808</v>
      </c>
      <c r="F184" s="250">
        <v>37.84</v>
      </c>
      <c r="G184" s="253" t="s">
        <v>595</v>
      </c>
      <c r="H184" s="251" t="s">
        <v>53</v>
      </c>
      <c r="I184" s="251" t="s">
        <v>809</v>
      </c>
      <c r="J184" s="89">
        <v>37.84</v>
      </c>
      <c r="K184" s="89">
        <v>0</v>
      </c>
      <c r="L184" s="250">
        <f t="shared" si="7"/>
        <v>3</v>
      </c>
      <c r="M184" s="89">
        <v>3</v>
      </c>
      <c r="N184" s="89">
        <v>0</v>
      </c>
      <c r="O184" s="268">
        <v>3</v>
      </c>
      <c r="P184" s="268">
        <v>0</v>
      </c>
      <c r="Q184" s="278"/>
      <c r="R184" s="111" t="s">
        <v>62</v>
      </c>
      <c r="S184" s="111"/>
      <c r="T184" s="281"/>
      <c r="U184" s="280">
        <f t="shared" si="6"/>
        <v>0</v>
      </c>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c r="GG184" s="28"/>
      <c r="GH184" s="28"/>
      <c r="GI184" s="28"/>
      <c r="GJ184" s="28"/>
      <c r="GK184" s="28"/>
      <c r="GL184" s="28"/>
      <c r="GM184" s="28"/>
      <c r="GN184" s="28"/>
      <c r="GO184" s="28"/>
      <c r="GP184" s="28"/>
      <c r="GQ184" s="28"/>
      <c r="GR184" s="28"/>
      <c r="GS184" s="28"/>
      <c r="GT184" s="28"/>
      <c r="GU184" s="28"/>
      <c r="GV184" s="28"/>
      <c r="GW184" s="28"/>
      <c r="GX184" s="28"/>
      <c r="GY184" s="28"/>
      <c r="GZ184" s="28"/>
      <c r="HA184" s="28"/>
      <c r="HB184" s="28"/>
      <c r="HC184" s="28"/>
      <c r="HD184" s="28"/>
      <c r="HE184" s="28"/>
      <c r="HF184" s="28"/>
      <c r="HG184" s="28"/>
      <c r="HH184" s="28"/>
      <c r="HI184" s="28"/>
      <c r="HJ184" s="28"/>
      <c r="HK184" s="28"/>
      <c r="HL184" s="28"/>
      <c r="HM184" s="28"/>
      <c r="HN184" s="28"/>
      <c r="HO184" s="28"/>
      <c r="HP184" s="28"/>
      <c r="HQ184" s="28"/>
      <c r="HR184" s="28"/>
      <c r="HS184" s="28"/>
      <c r="HT184" s="28"/>
      <c r="HU184" s="28"/>
      <c r="HV184" s="28"/>
      <c r="HW184" s="28"/>
      <c r="HX184" s="28"/>
      <c r="HY184" s="28"/>
      <c r="HZ184" s="28"/>
      <c r="IA184" s="28"/>
      <c r="IB184" s="28"/>
      <c r="IC184" s="28"/>
      <c r="ID184" s="28"/>
      <c r="IE184" s="28"/>
      <c r="IF184" s="28"/>
      <c r="IG184" s="28"/>
      <c r="IH184" s="28"/>
      <c r="II184" s="28"/>
      <c r="IJ184" s="28"/>
      <c r="IK184" s="28"/>
      <c r="IL184" s="28"/>
      <c r="IM184" s="28"/>
      <c r="IN184" s="28"/>
    </row>
    <row r="185" s="230" customFormat="1" ht="43.2" spans="1:248">
      <c r="A185" s="249" t="s">
        <v>810</v>
      </c>
      <c r="B185" s="251" t="s">
        <v>811</v>
      </c>
      <c r="C185" s="251" t="s">
        <v>24</v>
      </c>
      <c r="D185" s="252" t="s">
        <v>58</v>
      </c>
      <c r="E185" s="253" t="s">
        <v>812</v>
      </c>
      <c r="F185" s="250">
        <v>749.91</v>
      </c>
      <c r="G185" s="253" t="s">
        <v>741</v>
      </c>
      <c r="H185" s="251" t="s">
        <v>53</v>
      </c>
      <c r="I185" s="251" t="s">
        <v>813</v>
      </c>
      <c r="J185" s="89">
        <v>749.91</v>
      </c>
      <c r="K185" s="89">
        <v>0</v>
      </c>
      <c r="L185" s="250">
        <f t="shared" si="7"/>
        <v>2.9</v>
      </c>
      <c r="M185" s="89">
        <v>2.9</v>
      </c>
      <c r="N185" s="89">
        <v>0</v>
      </c>
      <c r="O185" s="268">
        <v>2.9</v>
      </c>
      <c r="P185" s="268">
        <v>0</v>
      </c>
      <c r="Q185" s="278"/>
      <c r="R185" s="111" t="s">
        <v>62</v>
      </c>
      <c r="S185" s="111"/>
      <c r="T185" s="281"/>
      <c r="U185" s="280">
        <f t="shared" si="6"/>
        <v>0</v>
      </c>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c r="HG185" s="28"/>
      <c r="HH185" s="28"/>
      <c r="HI185" s="28"/>
      <c r="HJ185" s="28"/>
      <c r="HK185" s="28"/>
      <c r="HL185" s="28"/>
      <c r="HM185" s="28"/>
      <c r="HN185" s="28"/>
      <c r="HO185" s="28"/>
      <c r="HP185" s="28"/>
      <c r="HQ185" s="28"/>
      <c r="HR185" s="28"/>
      <c r="HS185" s="28"/>
      <c r="HT185" s="28"/>
      <c r="HU185" s="28"/>
      <c r="HV185" s="28"/>
      <c r="HW185" s="28"/>
      <c r="HX185" s="28"/>
      <c r="HY185" s="28"/>
      <c r="HZ185" s="28"/>
      <c r="IA185" s="28"/>
      <c r="IB185" s="28"/>
      <c r="IC185" s="28"/>
      <c r="ID185" s="28"/>
      <c r="IE185" s="28"/>
      <c r="IF185" s="28"/>
      <c r="IG185" s="28"/>
      <c r="IH185" s="28"/>
      <c r="II185" s="28"/>
      <c r="IJ185" s="28"/>
      <c r="IK185" s="28"/>
      <c r="IL185" s="28"/>
      <c r="IM185" s="28"/>
      <c r="IN185" s="28"/>
    </row>
    <row r="186" s="230" customFormat="1" ht="43.2" spans="1:248">
      <c r="A186" s="249" t="s">
        <v>814</v>
      </c>
      <c r="B186" s="251" t="s">
        <v>815</v>
      </c>
      <c r="C186" s="251" t="s">
        <v>24</v>
      </c>
      <c r="D186" s="252" t="s">
        <v>58</v>
      </c>
      <c r="E186" s="253" t="s">
        <v>816</v>
      </c>
      <c r="F186" s="250">
        <v>64.71</v>
      </c>
      <c r="G186" s="253" t="s">
        <v>347</v>
      </c>
      <c r="H186" s="251" t="s">
        <v>53</v>
      </c>
      <c r="I186" s="251" t="s">
        <v>817</v>
      </c>
      <c r="J186" s="270">
        <v>64.71</v>
      </c>
      <c r="K186" s="89">
        <v>0</v>
      </c>
      <c r="L186" s="250">
        <f t="shared" si="7"/>
        <v>2.7</v>
      </c>
      <c r="M186" s="109">
        <v>2.7</v>
      </c>
      <c r="N186" s="89">
        <v>0</v>
      </c>
      <c r="O186" s="268">
        <v>2.7</v>
      </c>
      <c r="P186" s="268">
        <v>0</v>
      </c>
      <c r="Q186" s="278"/>
      <c r="R186" s="111" t="s">
        <v>107</v>
      </c>
      <c r="S186" s="111"/>
      <c r="T186" s="281"/>
      <c r="U186" s="280">
        <f t="shared" si="6"/>
        <v>0</v>
      </c>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row>
    <row r="187" s="230" customFormat="1" ht="48" customHeight="1" spans="1:248">
      <c r="A187" s="249" t="s">
        <v>818</v>
      </c>
      <c r="B187" s="251" t="s">
        <v>819</v>
      </c>
      <c r="C187" s="251" t="s">
        <v>24</v>
      </c>
      <c r="D187" s="252" t="s">
        <v>58</v>
      </c>
      <c r="E187" s="253" t="s">
        <v>820</v>
      </c>
      <c r="F187" s="250">
        <v>58.97</v>
      </c>
      <c r="G187" s="253" t="s">
        <v>821</v>
      </c>
      <c r="H187" s="251" t="s">
        <v>53</v>
      </c>
      <c r="I187" s="251" t="s">
        <v>822</v>
      </c>
      <c r="J187" s="89">
        <v>58.97</v>
      </c>
      <c r="K187" s="89">
        <v>0</v>
      </c>
      <c r="L187" s="250">
        <f t="shared" si="7"/>
        <v>2.5</v>
      </c>
      <c r="M187" s="89">
        <v>2.5</v>
      </c>
      <c r="N187" s="89">
        <v>0</v>
      </c>
      <c r="O187" s="268">
        <v>2.5</v>
      </c>
      <c r="P187" s="268">
        <v>0</v>
      </c>
      <c r="Q187" s="278"/>
      <c r="R187" s="111" t="s">
        <v>62</v>
      </c>
      <c r="S187" s="111"/>
      <c r="T187" s="281"/>
      <c r="U187" s="280">
        <f t="shared" si="6"/>
        <v>0</v>
      </c>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row>
    <row r="188" s="230" customFormat="1" ht="43.2" spans="1:248">
      <c r="A188" s="249" t="s">
        <v>823</v>
      </c>
      <c r="B188" s="251" t="s">
        <v>824</v>
      </c>
      <c r="C188" s="251" t="s">
        <v>24</v>
      </c>
      <c r="D188" s="252" t="s">
        <v>58</v>
      </c>
      <c r="E188" s="253" t="s">
        <v>825</v>
      </c>
      <c r="F188" s="250">
        <v>45.95</v>
      </c>
      <c r="G188" s="253" t="s">
        <v>422</v>
      </c>
      <c r="H188" s="251" t="s">
        <v>53</v>
      </c>
      <c r="I188" s="251" t="s">
        <v>826</v>
      </c>
      <c r="J188" s="89">
        <v>45.95</v>
      </c>
      <c r="K188" s="89">
        <v>0</v>
      </c>
      <c r="L188" s="250">
        <f t="shared" si="7"/>
        <v>2.5</v>
      </c>
      <c r="M188" s="89">
        <v>2.5</v>
      </c>
      <c r="N188" s="89">
        <v>0</v>
      </c>
      <c r="O188" s="268">
        <v>2.5</v>
      </c>
      <c r="P188" s="268">
        <v>0</v>
      </c>
      <c r="Q188" s="278"/>
      <c r="R188" s="111" t="s">
        <v>107</v>
      </c>
      <c r="S188" s="111"/>
      <c r="T188" s="281"/>
      <c r="U188" s="280">
        <f t="shared" si="6"/>
        <v>0</v>
      </c>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8"/>
      <c r="GR188" s="28"/>
      <c r="GS188" s="28"/>
      <c r="GT188" s="28"/>
      <c r="GU188" s="28"/>
      <c r="GV188" s="28"/>
      <c r="GW188" s="28"/>
      <c r="GX188" s="28"/>
      <c r="GY188" s="28"/>
      <c r="GZ188" s="28"/>
      <c r="HA188" s="28"/>
      <c r="HB188" s="28"/>
      <c r="HC188" s="28"/>
      <c r="HD188" s="28"/>
      <c r="HE188" s="28"/>
      <c r="HF188" s="28"/>
      <c r="HG188" s="28"/>
      <c r="HH188" s="28"/>
      <c r="HI188" s="28"/>
      <c r="HJ188" s="28"/>
      <c r="HK188" s="28"/>
      <c r="HL188" s="28"/>
      <c r="HM188" s="28"/>
      <c r="HN188" s="28"/>
      <c r="HO188" s="28"/>
      <c r="HP188" s="28"/>
      <c r="HQ188" s="28"/>
      <c r="HR188" s="28"/>
      <c r="HS188" s="28"/>
      <c r="HT188" s="28"/>
      <c r="HU188" s="28"/>
      <c r="HV188" s="28"/>
      <c r="HW188" s="28"/>
      <c r="HX188" s="28"/>
      <c r="HY188" s="28"/>
      <c r="HZ188" s="28"/>
      <c r="IA188" s="28"/>
      <c r="IB188" s="28"/>
      <c r="IC188" s="28"/>
      <c r="ID188" s="28"/>
      <c r="IE188" s="28"/>
      <c r="IF188" s="28"/>
      <c r="IG188" s="28"/>
      <c r="IH188" s="28"/>
      <c r="II188" s="28"/>
      <c r="IJ188" s="28"/>
      <c r="IK188" s="28"/>
      <c r="IL188" s="28"/>
      <c r="IM188" s="28"/>
      <c r="IN188" s="28"/>
    </row>
    <row r="189" s="230" customFormat="1" ht="43.2" spans="1:248">
      <c r="A189" s="249" t="s">
        <v>827</v>
      </c>
      <c r="B189" s="251" t="s">
        <v>828</v>
      </c>
      <c r="C189" s="251" t="s">
        <v>24</v>
      </c>
      <c r="D189" s="252" t="s">
        <v>58</v>
      </c>
      <c r="E189" s="253" t="s">
        <v>829</v>
      </c>
      <c r="F189" s="250">
        <v>40.93</v>
      </c>
      <c r="G189" s="253" t="s">
        <v>422</v>
      </c>
      <c r="H189" s="251" t="s">
        <v>53</v>
      </c>
      <c r="I189" s="251" t="s">
        <v>830</v>
      </c>
      <c r="J189" s="89">
        <v>40.93</v>
      </c>
      <c r="K189" s="89">
        <v>0</v>
      </c>
      <c r="L189" s="250">
        <f t="shared" si="7"/>
        <v>2.4</v>
      </c>
      <c r="M189" s="89">
        <v>2.4</v>
      </c>
      <c r="N189" s="89">
        <v>0</v>
      </c>
      <c r="O189" s="268">
        <v>2.4</v>
      </c>
      <c r="P189" s="268">
        <v>0</v>
      </c>
      <c r="Q189" s="278"/>
      <c r="R189" s="111" t="s">
        <v>107</v>
      </c>
      <c r="S189" s="111"/>
      <c r="T189" s="281"/>
      <c r="U189" s="280">
        <f t="shared" si="6"/>
        <v>0</v>
      </c>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row>
    <row r="190" s="230" customFormat="1" ht="57.6" spans="1:248">
      <c r="A190" s="249" t="s">
        <v>831</v>
      </c>
      <c r="B190" s="251" t="s">
        <v>832</v>
      </c>
      <c r="C190" s="251" t="s">
        <v>24</v>
      </c>
      <c r="D190" s="252" t="s">
        <v>58</v>
      </c>
      <c r="E190" s="253" t="s">
        <v>833</v>
      </c>
      <c r="F190" s="250">
        <v>83.15</v>
      </c>
      <c r="G190" s="253" t="s">
        <v>513</v>
      </c>
      <c r="H190" s="251" t="s">
        <v>53</v>
      </c>
      <c r="I190" s="251" t="s">
        <v>834</v>
      </c>
      <c r="J190" s="89">
        <v>83.15</v>
      </c>
      <c r="K190" s="89">
        <v>0</v>
      </c>
      <c r="L190" s="250">
        <f t="shared" si="7"/>
        <v>2.1</v>
      </c>
      <c r="M190" s="89">
        <v>2.1</v>
      </c>
      <c r="N190" s="89">
        <v>0</v>
      </c>
      <c r="O190" s="268">
        <v>2.1</v>
      </c>
      <c r="P190" s="268">
        <v>0</v>
      </c>
      <c r="Q190" s="278"/>
      <c r="R190" s="111" t="s">
        <v>62</v>
      </c>
      <c r="S190" s="111"/>
      <c r="T190" s="281"/>
      <c r="U190" s="280">
        <f t="shared" si="6"/>
        <v>0</v>
      </c>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c r="GG190" s="28"/>
      <c r="GH190" s="28"/>
      <c r="GI190" s="28"/>
      <c r="GJ190" s="28"/>
      <c r="GK190" s="28"/>
      <c r="GL190" s="28"/>
      <c r="GM190" s="28"/>
      <c r="GN190" s="28"/>
      <c r="GO190" s="28"/>
      <c r="GP190" s="28"/>
      <c r="GQ190" s="28"/>
      <c r="GR190" s="28"/>
      <c r="GS190" s="28"/>
      <c r="GT190" s="28"/>
      <c r="GU190" s="28"/>
      <c r="GV190" s="28"/>
      <c r="GW190" s="28"/>
      <c r="GX190" s="28"/>
      <c r="GY190" s="28"/>
      <c r="GZ190" s="28"/>
      <c r="HA190" s="28"/>
      <c r="HB190" s="28"/>
      <c r="HC190" s="28"/>
      <c r="HD190" s="28"/>
      <c r="HE190" s="28"/>
      <c r="HF190" s="28"/>
      <c r="HG190" s="28"/>
      <c r="HH190" s="28"/>
      <c r="HI190" s="28"/>
      <c r="HJ190" s="28"/>
      <c r="HK190" s="28"/>
      <c r="HL190" s="28"/>
      <c r="HM190" s="28"/>
      <c r="HN190" s="28"/>
      <c r="HO190" s="28"/>
      <c r="HP190" s="28"/>
      <c r="HQ190" s="28"/>
      <c r="HR190" s="28"/>
      <c r="HS190" s="28"/>
      <c r="HT190" s="28"/>
      <c r="HU190" s="28"/>
      <c r="HV190" s="28"/>
      <c r="HW190" s="28"/>
      <c r="HX190" s="28"/>
      <c r="HY190" s="28"/>
      <c r="HZ190" s="28"/>
      <c r="IA190" s="28"/>
      <c r="IB190" s="28"/>
      <c r="IC190" s="28"/>
      <c r="ID190" s="28"/>
      <c r="IE190" s="28"/>
      <c r="IF190" s="28"/>
      <c r="IG190" s="28"/>
      <c r="IH190" s="28"/>
      <c r="II190" s="28"/>
      <c r="IJ190" s="28"/>
      <c r="IK190" s="28"/>
      <c r="IL190" s="28"/>
      <c r="IM190" s="28"/>
      <c r="IN190" s="28"/>
    </row>
    <row r="191" s="230" customFormat="1" ht="43.2" spans="1:248">
      <c r="A191" s="249" t="s">
        <v>835</v>
      </c>
      <c r="B191" s="251" t="s">
        <v>836</v>
      </c>
      <c r="C191" s="251" t="s">
        <v>24</v>
      </c>
      <c r="D191" s="252" t="s">
        <v>58</v>
      </c>
      <c r="E191" s="253" t="s">
        <v>837</v>
      </c>
      <c r="F191" s="250">
        <v>18</v>
      </c>
      <c r="G191" s="253" t="s">
        <v>476</v>
      </c>
      <c r="H191" s="251" t="s">
        <v>53</v>
      </c>
      <c r="I191" s="251" t="s">
        <v>838</v>
      </c>
      <c r="J191" s="89">
        <v>18</v>
      </c>
      <c r="K191" s="89">
        <v>0</v>
      </c>
      <c r="L191" s="250">
        <f t="shared" si="7"/>
        <v>2</v>
      </c>
      <c r="M191" s="89">
        <v>2</v>
      </c>
      <c r="N191" s="89">
        <v>0</v>
      </c>
      <c r="O191" s="268">
        <v>2</v>
      </c>
      <c r="P191" s="268">
        <v>0</v>
      </c>
      <c r="Q191" s="278"/>
      <c r="R191" s="111" t="s">
        <v>62</v>
      </c>
      <c r="S191" s="111"/>
      <c r="T191" s="281"/>
      <c r="U191" s="280">
        <f t="shared" si="6"/>
        <v>0</v>
      </c>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c r="GG191" s="28"/>
      <c r="GH191" s="28"/>
      <c r="GI191" s="28"/>
      <c r="GJ191" s="28"/>
      <c r="GK191" s="28"/>
      <c r="GL191" s="28"/>
      <c r="GM191" s="28"/>
      <c r="GN191" s="28"/>
      <c r="GO191" s="28"/>
      <c r="GP191" s="28"/>
      <c r="GQ191" s="28"/>
      <c r="GR191" s="28"/>
      <c r="GS191" s="28"/>
      <c r="GT191" s="28"/>
      <c r="GU191" s="28"/>
      <c r="GV191" s="28"/>
      <c r="GW191" s="28"/>
      <c r="GX191" s="28"/>
      <c r="GY191" s="28"/>
      <c r="GZ191" s="28"/>
      <c r="HA191" s="28"/>
      <c r="HB191" s="28"/>
      <c r="HC191" s="28"/>
      <c r="HD191" s="28"/>
      <c r="HE191" s="28"/>
      <c r="HF191" s="28"/>
      <c r="HG191" s="28"/>
      <c r="HH191" s="28"/>
      <c r="HI191" s="28"/>
      <c r="HJ191" s="28"/>
      <c r="HK191" s="28"/>
      <c r="HL191" s="28"/>
      <c r="HM191" s="28"/>
      <c r="HN191" s="28"/>
      <c r="HO191" s="28"/>
      <c r="HP191" s="28"/>
      <c r="HQ191" s="28"/>
      <c r="HR191" s="28"/>
      <c r="HS191" s="28"/>
      <c r="HT191" s="28"/>
      <c r="HU191" s="28"/>
      <c r="HV191" s="28"/>
      <c r="HW191" s="28"/>
      <c r="HX191" s="28"/>
      <c r="HY191" s="28"/>
      <c r="HZ191" s="28"/>
      <c r="IA191" s="28"/>
      <c r="IB191" s="28"/>
      <c r="IC191" s="28"/>
      <c r="ID191" s="28"/>
      <c r="IE191" s="28"/>
      <c r="IF191" s="28"/>
      <c r="IG191" s="28"/>
      <c r="IH191" s="28"/>
      <c r="II191" s="28"/>
      <c r="IJ191" s="28"/>
      <c r="IK191" s="28"/>
      <c r="IL191" s="28"/>
      <c r="IM191" s="28"/>
      <c r="IN191" s="28"/>
    </row>
    <row r="192" s="230" customFormat="1" ht="43.2" spans="1:248">
      <c r="A192" s="249" t="s">
        <v>839</v>
      </c>
      <c r="B192" s="251" t="s">
        <v>840</v>
      </c>
      <c r="C192" s="251" t="s">
        <v>24</v>
      </c>
      <c r="D192" s="252" t="s">
        <v>58</v>
      </c>
      <c r="E192" s="253" t="s">
        <v>841</v>
      </c>
      <c r="F192" s="250">
        <v>48.05</v>
      </c>
      <c r="G192" s="253" t="s">
        <v>161</v>
      </c>
      <c r="H192" s="251" t="s">
        <v>53</v>
      </c>
      <c r="I192" s="251" t="s">
        <v>842</v>
      </c>
      <c r="J192" s="89">
        <v>48.05</v>
      </c>
      <c r="K192" s="89">
        <v>0</v>
      </c>
      <c r="L192" s="250">
        <f t="shared" si="7"/>
        <v>1.9</v>
      </c>
      <c r="M192" s="89">
        <v>1.9</v>
      </c>
      <c r="N192" s="89">
        <v>0</v>
      </c>
      <c r="O192" s="268">
        <v>1.9</v>
      </c>
      <c r="P192" s="268">
        <v>0</v>
      </c>
      <c r="Q192" s="278"/>
      <c r="R192" s="111" t="s">
        <v>62</v>
      </c>
      <c r="S192" s="111"/>
      <c r="T192" s="281"/>
      <c r="U192" s="280">
        <f t="shared" si="6"/>
        <v>0</v>
      </c>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c r="GG192" s="28"/>
      <c r="GH192" s="28"/>
      <c r="GI192" s="28"/>
      <c r="GJ192" s="28"/>
      <c r="GK192" s="28"/>
      <c r="GL192" s="28"/>
      <c r="GM192" s="28"/>
      <c r="GN192" s="28"/>
      <c r="GO192" s="28"/>
      <c r="GP192" s="28"/>
      <c r="GQ192" s="28"/>
      <c r="GR192" s="28"/>
      <c r="GS192" s="28"/>
      <c r="GT192" s="28"/>
      <c r="GU192" s="28"/>
      <c r="GV192" s="28"/>
      <c r="GW192" s="28"/>
      <c r="GX192" s="28"/>
      <c r="GY192" s="28"/>
      <c r="GZ192" s="28"/>
      <c r="HA192" s="28"/>
      <c r="HB192" s="28"/>
      <c r="HC192" s="28"/>
      <c r="HD192" s="28"/>
      <c r="HE192" s="28"/>
      <c r="HF192" s="28"/>
      <c r="HG192" s="28"/>
      <c r="HH192" s="28"/>
      <c r="HI192" s="28"/>
      <c r="HJ192" s="28"/>
      <c r="HK192" s="28"/>
      <c r="HL192" s="28"/>
      <c r="HM192" s="28"/>
      <c r="HN192" s="28"/>
      <c r="HO192" s="28"/>
      <c r="HP192" s="28"/>
      <c r="HQ192" s="28"/>
      <c r="HR192" s="28"/>
      <c r="HS192" s="28"/>
      <c r="HT192" s="28"/>
      <c r="HU192" s="28"/>
      <c r="HV192" s="28"/>
      <c r="HW192" s="28"/>
      <c r="HX192" s="28"/>
      <c r="HY192" s="28"/>
      <c r="HZ192" s="28"/>
      <c r="IA192" s="28"/>
      <c r="IB192" s="28"/>
      <c r="IC192" s="28"/>
      <c r="ID192" s="28"/>
      <c r="IE192" s="28"/>
      <c r="IF192" s="28"/>
      <c r="IG192" s="28"/>
      <c r="IH192" s="28"/>
      <c r="II192" s="28"/>
      <c r="IJ192" s="28"/>
      <c r="IK192" s="28"/>
      <c r="IL192" s="28"/>
      <c r="IM192" s="28"/>
      <c r="IN192" s="28"/>
    </row>
    <row r="193" s="230" customFormat="1" ht="49" customHeight="1" spans="1:248">
      <c r="A193" s="249" t="s">
        <v>843</v>
      </c>
      <c r="B193" s="58" t="s">
        <v>844</v>
      </c>
      <c r="C193" s="73" t="s">
        <v>24</v>
      </c>
      <c r="D193" s="252" t="s">
        <v>58</v>
      </c>
      <c r="E193" s="75" t="s">
        <v>845</v>
      </c>
      <c r="F193" s="250">
        <v>424.94</v>
      </c>
      <c r="G193" s="89" t="s">
        <v>251</v>
      </c>
      <c r="H193" s="251" t="s">
        <v>53</v>
      </c>
      <c r="I193" s="73" t="s">
        <v>846</v>
      </c>
      <c r="J193" s="89">
        <v>424.94</v>
      </c>
      <c r="K193" s="89">
        <v>0</v>
      </c>
      <c r="L193" s="250">
        <f t="shared" si="7"/>
        <v>1.86</v>
      </c>
      <c r="M193" s="109">
        <v>1.86</v>
      </c>
      <c r="N193" s="109">
        <v>0</v>
      </c>
      <c r="O193" s="268">
        <v>1.86</v>
      </c>
      <c r="P193" s="268">
        <v>0</v>
      </c>
      <c r="Q193" s="278"/>
      <c r="R193" s="111" t="s">
        <v>107</v>
      </c>
      <c r="S193" s="111"/>
      <c r="T193" s="281"/>
      <c r="U193" s="280">
        <f t="shared" si="6"/>
        <v>0</v>
      </c>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row>
    <row r="194" s="230" customFormat="1" ht="43.2" spans="1:248">
      <c r="A194" s="249" t="s">
        <v>847</v>
      </c>
      <c r="B194" s="251" t="s">
        <v>848</v>
      </c>
      <c r="C194" s="251" t="s">
        <v>24</v>
      </c>
      <c r="D194" s="252" t="s">
        <v>58</v>
      </c>
      <c r="E194" s="253" t="s">
        <v>849</v>
      </c>
      <c r="F194" s="250">
        <v>1007.46</v>
      </c>
      <c r="G194" s="253" t="s">
        <v>347</v>
      </c>
      <c r="H194" s="251" t="s">
        <v>53</v>
      </c>
      <c r="I194" s="251" t="s">
        <v>850</v>
      </c>
      <c r="J194" s="89">
        <v>1007.46</v>
      </c>
      <c r="K194" s="89">
        <v>0</v>
      </c>
      <c r="L194" s="250">
        <f t="shared" si="7"/>
        <v>1.4</v>
      </c>
      <c r="M194" s="89">
        <v>1.4</v>
      </c>
      <c r="N194" s="89">
        <v>0</v>
      </c>
      <c r="O194" s="268">
        <v>1.4</v>
      </c>
      <c r="P194" s="268">
        <v>0</v>
      </c>
      <c r="Q194" s="278"/>
      <c r="R194" s="111" t="s">
        <v>62</v>
      </c>
      <c r="S194" s="111"/>
      <c r="T194" s="281"/>
      <c r="U194" s="280">
        <f t="shared" si="6"/>
        <v>0</v>
      </c>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row>
    <row r="195" s="230" customFormat="1" ht="92" customHeight="1" spans="1:248">
      <c r="A195" s="249" t="s">
        <v>851</v>
      </c>
      <c r="B195" s="251" t="s">
        <v>852</v>
      </c>
      <c r="C195" s="251" t="s">
        <v>24</v>
      </c>
      <c r="D195" s="252" t="s">
        <v>58</v>
      </c>
      <c r="E195" s="253" t="s">
        <v>853</v>
      </c>
      <c r="F195" s="250">
        <v>1881.6</v>
      </c>
      <c r="G195" s="253" t="s">
        <v>314</v>
      </c>
      <c r="H195" s="251" t="s">
        <v>53</v>
      </c>
      <c r="I195" s="251" t="s">
        <v>854</v>
      </c>
      <c r="J195" s="89">
        <v>1881.6</v>
      </c>
      <c r="K195" s="89">
        <v>0</v>
      </c>
      <c r="L195" s="250">
        <f t="shared" si="7"/>
        <v>1.4</v>
      </c>
      <c r="M195" s="89">
        <v>1.4</v>
      </c>
      <c r="N195" s="89">
        <v>0</v>
      </c>
      <c r="O195" s="268">
        <v>1.4</v>
      </c>
      <c r="P195" s="268">
        <v>0</v>
      </c>
      <c r="Q195" s="278"/>
      <c r="R195" s="111" t="s">
        <v>62</v>
      </c>
      <c r="S195" s="111"/>
      <c r="T195" s="281"/>
      <c r="U195" s="280">
        <f t="shared" si="6"/>
        <v>0</v>
      </c>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row>
    <row r="196" s="230" customFormat="1" ht="43.2" spans="1:248">
      <c r="A196" s="249" t="s">
        <v>855</v>
      </c>
      <c r="B196" s="251" t="s">
        <v>856</v>
      </c>
      <c r="C196" s="251" t="s">
        <v>24</v>
      </c>
      <c r="D196" s="252" t="s">
        <v>58</v>
      </c>
      <c r="E196" s="253" t="s">
        <v>857</v>
      </c>
      <c r="F196" s="250">
        <v>101.41</v>
      </c>
      <c r="G196" s="253" t="s">
        <v>422</v>
      </c>
      <c r="H196" s="251" t="s">
        <v>53</v>
      </c>
      <c r="I196" s="251" t="s">
        <v>858</v>
      </c>
      <c r="J196" s="89">
        <v>101.41</v>
      </c>
      <c r="K196" s="89">
        <v>0</v>
      </c>
      <c r="L196" s="250">
        <f t="shared" si="7"/>
        <v>1.2</v>
      </c>
      <c r="M196" s="89">
        <v>1.2</v>
      </c>
      <c r="N196" s="89">
        <v>0</v>
      </c>
      <c r="O196" s="268">
        <v>1.2</v>
      </c>
      <c r="P196" s="268">
        <v>0</v>
      </c>
      <c r="Q196" s="278"/>
      <c r="R196" s="111" t="s">
        <v>62</v>
      </c>
      <c r="S196" s="111"/>
      <c r="T196" s="281"/>
      <c r="U196" s="280">
        <f t="shared" si="6"/>
        <v>0</v>
      </c>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8"/>
      <c r="GR196" s="28"/>
      <c r="GS196" s="28"/>
      <c r="GT196" s="28"/>
      <c r="GU196" s="28"/>
      <c r="GV196" s="28"/>
      <c r="GW196" s="28"/>
      <c r="GX196" s="28"/>
      <c r="GY196" s="28"/>
      <c r="GZ196" s="28"/>
      <c r="HA196" s="28"/>
      <c r="HB196" s="28"/>
      <c r="HC196" s="28"/>
      <c r="HD196" s="28"/>
      <c r="HE196" s="28"/>
      <c r="HF196" s="28"/>
      <c r="HG196" s="28"/>
      <c r="HH196" s="28"/>
      <c r="HI196" s="28"/>
      <c r="HJ196" s="28"/>
      <c r="HK196" s="28"/>
      <c r="HL196" s="28"/>
      <c r="HM196" s="28"/>
      <c r="HN196" s="28"/>
      <c r="HO196" s="28"/>
      <c r="HP196" s="28"/>
      <c r="HQ196" s="28"/>
      <c r="HR196" s="28"/>
      <c r="HS196" s="28"/>
      <c r="HT196" s="28"/>
      <c r="HU196" s="28"/>
      <c r="HV196" s="28"/>
      <c r="HW196" s="28"/>
      <c r="HX196" s="28"/>
      <c r="HY196" s="28"/>
      <c r="HZ196" s="28"/>
      <c r="IA196" s="28"/>
      <c r="IB196" s="28"/>
      <c r="IC196" s="28"/>
      <c r="ID196" s="28"/>
      <c r="IE196" s="28"/>
      <c r="IF196" s="28"/>
      <c r="IG196" s="28"/>
      <c r="IH196" s="28"/>
      <c r="II196" s="28"/>
      <c r="IJ196" s="28"/>
      <c r="IK196" s="28"/>
      <c r="IL196" s="28"/>
      <c r="IM196" s="28"/>
      <c r="IN196" s="28"/>
    </row>
    <row r="197" s="230" customFormat="1" ht="43.2" spans="1:248">
      <c r="A197" s="249" t="s">
        <v>859</v>
      </c>
      <c r="B197" s="251" t="s">
        <v>860</v>
      </c>
      <c r="C197" s="251" t="s">
        <v>24</v>
      </c>
      <c r="D197" s="252" t="s">
        <v>58</v>
      </c>
      <c r="E197" s="253" t="s">
        <v>861</v>
      </c>
      <c r="F197" s="250">
        <v>41.4</v>
      </c>
      <c r="G197" s="253" t="s">
        <v>476</v>
      </c>
      <c r="H197" s="251" t="s">
        <v>53</v>
      </c>
      <c r="I197" s="251" t="s">
        <v>862</v>
      </c>
      <c r="J197" s="89">
        <v>41.4</v>
      </c>
      <c r="K197" s="89">
        <v>0</v>
      </c>
      <c r="L197" s="250">
        <f t="shared" si="7"/>
        <v>1</v>
      </c>
      <c r="M197" s="89">
        <v>1</v>
      </c>
      <c r="N197" s="89">
        <v>0</v>
      </c>
      <c r="O197" s="268">
        <v>1</v>
      </c>
      <c r="P197" s="268">
        <v>0</v>
      </c>
      <c r="Q197" s="278"/>
      <c r="R197" s="111" t="s">
        <v>62</v>
      </c>
      <c r="S197" s="111"/>
      <c r="T197" s="281"/>
      <c r="U197" s="280">
        <f t="shared" si="6"/>
        <v>0</v>
      </c>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c r="GE197" s="28"/>
      <c r="GF197" s="28"/>
      <c r="GG197" s="28"/>
      <c r="GH197" s="28"/>
      <c r="GI197" s="28"/>
      <c r="GJ197" s="28"/>
      <c r="GK197" s="28"/>
      <c r="GL197" s="28"/>
      <c r="GM197" s="28"/>
      <c r="GN197" s="28"/>
      <c r="GO197" s="28"/>
      <c r="GP197" s="28"/>
      <c r="GQ197" s="28"/>
      <c r="GR197" s="28"/>
      <c r="GS197" s="28"/>
      <c r="GT197" s="28"/>
      <c r="GU197" s="28"/>
      <c r="GV197" s="28"/>
      <c r="GW197" s="28"/>
      <c r="GX197" s="28"/>
      <c r="GY197" s="28"/>
      <c r="GZ197" s="28"/>
      <c r="HA197" s="28"/>
      <c r="HB197" s="28"/>
      <c r="HC197" s="28"/>
      <c r="HD197" s="28"/>
      <c r="HE197" s="28"/>
      <c r="HF197" s="28"/>
      <c r="HG197" s="28"/>
      <c r="HH197" s="28"/>
      <c r="HI197" s="28"/>
      <c r="HJ197" s="28"/>
      <c r="HK197" s="28"/>
      <c r="HL197" s="28"/>
      <c r="HM197" s="28"/>
      <c r="HN197" s="28"/>
      <c r="HO197" s="28"/>
      <c r="HP197" s="28"/>
      <c r="HQ197" s="28"/>
      <c r="HR197" s="28"/>
      <c r="HS197" s="28"/>
      <c r="HT197" s="28"/>
      <c r="HU197" s="28"/>
      <c r="HV197" s="28"/>
      <c r="HW197" s="28"/>
      <c r="HX197" s="28"/>
      <c r="HY197" s="28"/>
      <c r="HZ197" s="28"/>
      <c r="IA197" s="28"/>
      <c r="IB197" s="28"/>
      <c r="IC197" s="28"/>
      <c r="ID197" s="28"/>
      <c r="IE197" s="28"/>
      <c r="IF197" s="28"/>
      <c r="IG197" s="28"/>
      <c r="IH197" s="28"/>
      <c r="II197" s="28"/>
      <c r="IJ197" s="28"/>
      <c r="IK197" s="28"/>
      <c r="IL197" s="28"/>
      <c r="IM197" s="28"/>
      <c r="IN197" s="28"/>
    </row>
    <row r="198" s="230" customFormat="1" ht="68" customHeight="1" spans="1:248">
      <c r="A198" s="249" t="s">
        <v>863</v>
      </c>
      <c r="B198" s="251" t="s">
        <v>864</v>
      </c>
      <c r="C198" s="251" t="s">
        <v>24</v>
      </c>
      <c r="D198" s="252" t="s">
        <v>58</v>
      </c>
      <c r="E198" s="253" t="s">
        <v>865</v>
      </c>
      <c r="F198" s="250">
        <v>462.82</v>
      </c>
      <c r="G198" s="253" t="s">
        <v>476</v>
      </c>
      <c r="H198" s="251" t="s">
        <v>53</v>
      </c>
      <c r="I198" s="251" t="s">
        <v>866</v>
      </c>
      <c r="J198" s="89">
        <v>462.82</v>
      </c>
      <c r="K198" s="89">
        <v>0</v>
      </c>
      <c r="L198" s="250">
        <f t="shared" si="7"/>
        <v>0.83</v>
      </c>
      <c r="M198" s="109">
        <v>0.83</v>
      </c>
      <c r="N198" s="89">
        <v>0</v>
      </c>
      <c r="O198" s="268">
        <v>0.83</v>
      </c>
      <c r="P198" s="268">
        <v>0</v>
      </c>
      <c r="Q198" s="278"/>
      <c r="R198" s="111" t="s">
        <v>107</v>
      </c>
      <c r="S198" s="111"/>
      <c r="T198" s="281"/>
      <c r="U198" s="280">
        <f t="shared" si="6"/>
        <v>0</v>
      </c>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c r="GG198" s="28"/>
      <c r="GH198" s="28"/>
      <c r="GI198" s="28"/>
      <c r="GJ198" s="28"/>
      <c r="GK198" s="28"/>
      <c r="GL198" s="28"/>
      <c r="GM198" s="28"/>
      <c r="GN198" s="28"/>
      <c r="GO198" s="28"/>
      <c r="GP198" s="28"/>
      <c r="GQ198" s="28"/>
      <c r="GR198" s="28"/>
      <c r="GS198" s="28"/>
      <c r="GT198" s="28"/>
      <c r="GU198" s="28"/>
      <c r="GV198" s="28"/>
      <c r="GW198" s="28"/>
      <c r="GX198" s="28"/>
      <c r="GY198" s="28"/>
      <c r="GZ198" s="28"/>
      <c r="HA198" s="28"/>
      <c r="HB198" s="28"/>
      <c r="HC198" s="28"/>
      <c r="HD198" s="28"/>
      <c r="HE198" s="28"/>
      <c r="HF198" s="28"/>
      <c r="HG198" s="28"/>
      <c r="HH198" s="28"/>
      <c r="HI198" s="28"/>
      <c r="HJ198" s="28"/>
      <c r="HK198" s="28"/>
      <c r="HL198" s="28"/>
      <c r="HM198" s="28"/>
      <c r="HN198" s="28"/>
      <c r="HO198" s="28"/>
      <c r="HP198" s="28"/>
      <c r="HQ198" s="28"/>
      <c r="HR198" s="28"/>
      <c r="HS198" s="28"/>
      <c r="HT198" s="28"/>
      <c r="HU198" s="28"/>
      <c r="HV198" s="28"/>
      <c r="HW198" s="28"/>
      <c r="HX198" s="28"/>
      <c r="HY198" s="28"/>
      <c r="HZ198" s="28"/>
      <c r="IA198" s="28"/>
      <c r="IB198" s="28"/>
      <c r="IC198" s="28"/>
      <c r="ID198" s="28"/>
      <c r="IE198" s="28"/>
      <c r="IF198" s="28"/>
      <c r="IG198" s="28"/>
      <c r="IH198" s="28"/>
      <c r="II198" s="28"/>
      <c r="IJ198" s="28"/>
      <c r="IK198" s="28"/>
      <c r="IL198" s="28"/>
      <c r="IM198" s="28"/>
      <c r="IN198" s="28"/>
    </row>
    <row r="199" s="230" customFormat="1" ht="43.2" spans="1:248">
      <c r="A199" s="249" t="s">
        <v>867</v>
      </c>
      <c r="B199" s="251" t="s">
        <v>868</v>
      </c>
      <c r="C199" s="251" t="s">
        <v>24</v>
      </c>
      <c r="D199" s="252" t="s">
        <v>58</v>
      </c>
      <c r="E199" s="253" t="s">
        <v>869</v>
      </c>
      <c r="F199" s="250">
        <v>20.08</v>
      </c>
      <c r="G199" s="253" t="s">
        <v>127</v>
      </c>
      <c r="H199" s="251" t="s">
        <v>53</v>
      </c>
      <c r="I199" s="251" t="s">
        <v>870</v>
      </c>
      <c r="J199" s="89">
        <v>20.08</v>
      </c>
      <c r="K199" s="89">
        <v>0</v>
      </c>
      <c r="L199" s="250">
        <f t="shared" si="7"/>
        <v>0.8</v>
      </c>
      <c r="M199" s="89">
        <v>0.8</v>
      </c>
      <c r="N199" s="89">
        <v>0</v>
      </c>
      <c r="O199" s="268">
        <v>0.8</v>
      </c>
      <c r="P199" s="268">
        <v>0</v>
      </c>
      <c r="Q199" s="278"/>
      <c r="R199" s="111" t="s">
        <v>62</v>
      </c>
      <c r="S199" s="111"/>
      <c r="T199" s="281"/>
      <c r="U199" s="280">
        <f t="shared" si="6"/>
        <v>0</v>
      </c>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8"/>
      <c r="GR199" s="28"/>
      <c r="GS199" s="28"/>
      <c r="GT199" s="28"/>
      <c r="GU199" s="28"/>
      <c r="GV199" s="28"/>
      <c r="GW199" s="28"/>
      <c r="GX199" s="28"/>
      <c r="GY199" s="28"/>
      <c r="GZ199" s="28"/>
      <c r="HA199" s="28"/>
      <c r="HB199" s="28"/>
      <c r="HC199" s="28"/>
      <c r="HD199" s="28"/>
      <c r="HE199" s="28"/>
      <c r="HF199" s="28"/>
      <c r="HG199" s="28"/>
      <c r="HH199" s="28"/>
      <c r="HI199" s="28"/>
      <c r="HJ199" s="28"/>
      <c r="HK199" s="28"/>
      <c r="HL199" s="28"/>
      <c r="HM199" s="28"/>
      <c r="HN199" s="28"/>
      <c r="HO199" s="28"/>
      <c r="HP199" s="28"/>
      <c r="HQ199" s="28"/>
      <c r="HR199" s="28"/>
      <c r="HS199" s="28"/>
      <c r="HT199" s="28"/>
      <c r="HU199" s="28"/>
      <c r="HV199" s="28"/>
      <c r="HW199" s="28"/>
      <c r="HX199" s="28"/>
      <c r="HY199" s="28"/>
      <c r="HZ199" s="28"/>
      <c r="IA199" s="28"/>
      <c r="IB199" s="28"/>
      <c r="IC199" s="28"/>
      <c r="ID199" s="28"/>
      <c r="IE199" s="28"/>
      <c r="IF199" s="28"/>
      <c r="IG199" s="28"/>
      <c r="IH199" s="28"/>
      <c r="II199" s="28"/>
      <c r="IJ199" s="28"/>
      <c r="IK199" s="28"/>
      <c r="IL199" s="28"/>
      <c r="IM199" s="28"/>
      <c r="IN199" s="28"/>
    </row>
    <row r="200" s="230" customFormat="1" ht="50" customHeight="1" spans="1:248">
      <c r="A200" s="249" t="s">
        <v>871</v>
      </c>
      <c r="B200" s="58" t="s">
        <v>872</v>
      </c>
      <c r="C200" s="58" t="s">
        <v>24</v>
      </c>
      <c r="D200" s="252" t="s">
        <v>58</v>
      </c>
      <c r="E200" s="71" t="s">
        <v>873</v>
      </c>
      <c r="F200" s="250">
        <v>289.26</v>
      </c>
      <c r="G200" s="293" t="s">
        <v>251</v>
      </c>
      <c r="H200" s="293" t="s">
        <v>53</v>
      </c>
      <c r="I200" s="293" t="s">
        <v>874</v>
      </c>
      <c r="J200" s="89">
        <v>289.26</v>
      </c>
      <c r="K200" s="89">
        <v>0</v>
      </c>
      <c r="L200" s="250">
        <f t="shared" si="7"/>
        <v>0.6</v>
      </c>
      <c r="M200" s="89">
        <v>0.6</v>
      </c>
      <c r="N200" s="89">
        <v>0</v>
      </c>
      <c r="O200" s="268">
        <v>0.6</v>
      </c>
      <c r="P200" s="268">
        <v>0</v>
      </c>
      <c r="Q200" s="278"/>
      <c r="R200" s="111" t="s">
        <v>107</v>
      </c>
      <c r="S200" s="111"/>
      <c r="T200" s="281"/>
      <c r="U200" s="280">
        <f t="shared" si="6"/>
        <v>0</v>
      </c>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8"/>
      <c r="GR200" s="28"/>
      <c r="GS200" s="28"/>
      <c r="GT200" s="28"/>
      <c r="GU200" s="28"/>
      <c r="GV200" s="28"/>
      <c r="GW200" s="28"/>
      <c r="GX200" s="28"/>
      <c r="GY200" s="28"/>
      <c r="GZ200" s="28"/>
      <c r="HA200" s="28"/>
      <c r="HB200" s="28"/>
      <c r="HC200" s="28"/>
      <c r="HD200" s="28"/>
      <c r="HE200" s="28"/>
      <c r="HF200" s="28"/>
      <c r="HG200" s="28"/>
      <c r="HH200" s="28"/>
      <c r="HI200" s="28"/>
      <c r="HJ200" s="28"/>
      <c r="HK200" s="28"/>
      <c r="HL200" s="28"/>
      <c r="HM200" s="28"/>
      <c r="HN200" s="28"/>
      <c r="HO200" s="28"/>
      <c r="HP200" s="28"/>
      <c r="HQ200" s="28"/>
      <c r="HR200" s="28"/>
      <c r="HS200" s="28"/>
      <c r="HT200" s="28"/>
      <c r="HU200" s="28"/>
      <c r="HV200" s="28"/>
      <c r="HW200" s="28"/>
      <c r="HX200" s="28"/>
      <c r="HY200" s="28"/>
      <c r="HZ200" s="28"/>
      <c r="IA200" s="28"/>
      <c r="IB200" s="28"/>
      <c r="IC200" s="28"/>
      <c r="ID200" s="28"/>
      <c r="IE200" s="28"/>
      <c r="IF200" s="28"/>
      <c r="IG200" s="28"/>
      <c r="IH200" s="28"/>
      <c r="II200" s="28"/>
      <c r="IJ200" s="28"/>
      <c r="IK200" s="28"/>
      <c r="IL200" s="28"/>
      <c r="IM200" s="28"/>
      <c r="IN200" s="28"/>
    </row>
    <row r="201" s="230" customFormat="1" ht="43.2" spans="1:248">
      <c r="A201" s="249" t="s">
        <v>875</v>
      </c>
      <c r="B201" s="251" t="s">
        <v>876</v>
      </c>
      <c r="C201" s="251" t="s">
        <v>24</v>
      </c>
      <c r="D201" s="252" t="s">
        <v>58</v>
      </c>
      <c r="E201" s="253" t="s">
        <v>877</v>
      </c>
      <c r="F201" s="250">
        <v>19</v>
      </c>
      <c r="G201" s="253" t="s">
        <v>476</v>
      </c>
      <c r="H201" s="251" t="s">
        <v>53</v>
      </c>
      <c r="I201" s="251" t="s">
        <v>878</v>
      </c>
      <c r="J201" s="89">
        <v>19</v>
      </c>
      <c r="K201" s="89">
        <v>0</v>
      </c>
      <c r="L201" s="250">
        <f t="shared" si="7"/>
        <v>0.6</v>
      </c>
      <c r="M201" s="89">
        <v>0.6</v>
      </c>
      <c r="N201" s="89">
        <v>0</v>
      </c>
      <c r="O201" s="268">
        <v>0.6</v>
      </c>
      <c r="P201" s="268">
        <v>0</v>
      </c>
      <c r="Q201" s="278"/>
      <c r="R201" s="111" t="s">
        <v>107</v>
      </c>
      <c r="S201" s="111"/>
      <c r="T201" s="281"/>
      <c r="U201" s="280">
        <f t="shared" ref="U201:U211" si="8">O201+P201-L201</f>
        <v>0</v>
      </c>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c r="IF201" s="28"/>
      <c r="IG201" s="28"/>
      <c r="IH201" s="28"/>
      <c r="II201" s="28"/>
      <c r="IJ201" s="28"/>
      <c r="IK201" s="28"/>
      <c r="IL201" s="28"/>
      <c r="IM201" s="28"/>
      <c r="IN201" s="28"/>
    </row>
    <row r="202" s="230" customFormat="1" ht="43.2" spans="1:248">
      <c r="A202" s="249" t="s">
        <v>879</v>
      </c>
      <c r="B202" s="251" t="s">
        <v>880</v>
      </c>
      <c r="C202" s="251" t="s">
        <v>24</v>
      </c>
      <c r="D202" s="252" t="s">
        <v>58</v>
      </c>
      <c r="E202" s="253" t="s">
        <v>881</v>
      </c>
      <c r="F202" s="250">
        <v>20.5</v>
      </c>
      <c r="G202" s="253" t="s">
        <v>476</v>
      </c>
      <c r="H202" s="251" t="s">
        <v>53</v>
      </c>
      <c r="I202" s="251" t="s">
        <v>882</v>
      </c>
      <c r="J202" s="89">
        <v>20.5</v>
      </c>
      <c r="K202" s="89">
        <v>0</v>
      </c>
      <c r="L202" s="250">
        <f t="shared" si="7"/>
        <v>0.5</v>
      </c>
      <c r="M202" s="89">
        <v>0.5</v>
      </c>
      <c r="N202" s="89">
        <v>0</v>
      </c>
      <c r="O202" s="268">
        <v>0.5</v>
      </c>
      <c r="P202" s="268">
        <v>0</v>
      </c>
      <c r="Q202" s="278"/>
      <c r="R202" s="111" t="s">
        <v>62</v>
      </c>
      <c r="S202" s="111"/>
      <c r="T202" s="281"/>
      <c r="U202" s="280">
        <f t="shared" si="8"/>
        <v>0</v>
      </c>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row>
    <row r="203" s="230" customFormat="1" ht="43.2" spans="1:248">
      <c r="A203" s="249" t="s">
        <v>883</v>
      </c>
      <c r="B203" s="251" t="s">
        <v>884</v>
      </c>
      <c r="C203" s="58" t="s">
        <v>24</v>
      </c>
      <c r="D203" s="252" t="s">
        <v>58</v>
      </c>
      <c r="E203" s="71" t="s">
        <v>885</v>
      </c>
      <c r="F203" s="250">
        <v>110</v>
      </c>
      <c r="G203" s="293" t="s">
        <v>692</v>
      </c>
      <c r="H203" s="293" t="s">
        <v>53</v>
      </c>
      <c r="I203" s="293" t="s">
        <v>886</v>
      </c>
      <c r="J203" s="89">
        <v>110</v>
      </c>
      <c r="K203" s="89">
        <v>0</v>
      </c>
      <c r="L203" s="250">
        <f t="shared" si="7"/>
        <v>0.4</v>
      </c>
      <c r="M203" s="89">
        <v>0.4</v>
      </c>
      <c r="N203" s="89">
        <v>0</v>
      </c>
      <c r="O203" s="268">
        <v>0.4</v>
      </c>
      <c r="P203" s="268">
        <v>0</v>
      </c>
      <c r="Q203" s="278"/>
      <c r="R203" s="111" t="s">
        <v>107</v>
      </c>
      <c r="S203" s="111"/>
      <c r="T203" s="281"/>
      <c r="U203" s="280">
        <f t="shared" si="8"/>
        <v>0</v>
      </c>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row>
    <row r="204" s="230" customFormat="1" ht="43.2" spans="1:248">
      <c r="A204" s="249" t="s">
        <v>887</v>
      </c>
      <c r="B204" s="251" t="s">
        <v>888</v>
      </c>
      <c r="C204" s="251" t="s">
        <v>24</v>
      </c>
      <c r="D204" s="252" t="s">
        <v>58</v>
      </c>
      <c r="E204" s="253" t="s">
        <v>889</v>
      </c>
      <c r="F204" s="250">
        <v>44.13</v>
      </c>
      <c r="G204" s="253" t="s">
        <v>422</v>
      </c>
      <c r="H204" s="251" t="s">
        <v>53</v>
      </c>
      <c r="I204" s="251" t="s">
        <v>890</v>
      </c>
      <c r="J204" s="89">
        <v>44.13</v>
      </c>
      <c r="K204" s="89">
        <v>0</v>
      </c>
      <c r="L204" s="250">
        <f t="shared" si="7"/>
        <v>0.2</v>
      </c>
      <c r="M204" s="89">
        <v>0.2</v>
      </c>
      <c r="N204" s="89">
        <v>0</v>
      </c>
      <c r="O204" s="268">
        <v>0.2</v>
      </c>
      <c r="P204" s="268">
        <v>0</v>
      </c>
      <c r="Q204" s="278"/>
      <c r="R204" s="111" t="s">
        <v>107</v>
      </c>
      <c r="S204" s="111"/>
      <c r="T204" s="281"/>
      <c r="U204" s="280">
        <f t="shared" si="8"/>
        <v>0</v>
      </c>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row>
    <row r="205" s="230" customFormat="1" ht="57.6" spans="1:248">
      <c r="A205" s="249" t="s">
        <v>891</v>
      </c>
      <c r="B205" s="175" t="s">
        <v>892</v>
      </c>
      <c r="C205" s="259" t="s">
        <v>24</v>
      </c>
      <c r="D205" s="175" t="s">
        <v>145</v>
      </c>
      <c r="E205" s="211" t="s">
        <v>893</v>
      </c>
      <c r="F205" s="250">
        <v>230.57</v>
      </c>
      <c r="G205" s="175" t="s">
        <v>147</v>
      </c>
      <c r="H205" s="175" t="s">
        <v>53</v>
      </c>
      <c r="I205" s="175" t="s">
        <v>894</v>
      </c>
      <c r="J205" s="185">
        <v>230.57</v>
      </c>
      <c r="K205" s="185">
        <v>0</v>
      </c>
      <c r="L205" s="250">
        <f t="shared" si="7"/>
        <v>0.15</v>
      </c>
      <c r="M205" s="185">
        <v>0.15</v>
      </c>
      <c r="N205" s="185">
        <v>0</v>
      </c>
      <c r="O205" s="268">
        <v>0.15</v>
      </c>
      <c r="P205" s="268">
        <v>0</v>
      </c>
      <c r="Q205" s="278"/>
      <c r="R205" s="111" t="s">
        <v>107</v>
      </c>
      <c r="S205" s="111"/>
      <c r="T205" s="281"/>
      <c r="U205" s="280">
        <f t="shared" si="8"/>
        <v>0</v>
      </c>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row>
    <row r="206" s="230" customFormat="1" ht="43.2" spans="1:248">
      <c r="A206" s="249" t="s">
        <v>895</v>
      </c>
      <c r="B206" s="251" t="s">
        <v>896</v>
      </c>
      <c r="C206" s="251" t="s">
        <v>24</v>
      </c>
      <c r="D206" s="252" t="s">
        <v>58</v>
      </c>
      <c r="E206" s="253" t="s">
        <v>897</v>
      </c>
      <c r="F206" s="250">
        <v>725.6</v>
      </c>
      <c r="G206" s="253" t="s">
        <v>476</v>
      </c>
      <c r="H206" s="251" t="s">
        <v>53</v>
      </c>
      <c r="I206" s="251" t="s">
        <v>898</v>
      </c>
      <c r="J206" s="89">
        <v>725.6</v>
      </c>
      <c r="K206" s="89">
        <v>0</v>
      </c>
      <c r="L206" s="250">
        <f t="shared" si="7"/>
        <v>0.15</v>
      </c>
      <c r="M206" s="89">
        <v>0.15</v>
      </c>
      <c r="N206" s="89">
        <v>0</v>
      </c>
      <c r="O206" s="268">
        <v>0.15</v>
      </c>
      <c r="P206" s="268">
        <v>0</v>
      </c>
      <c r="Q206" s="278"/>
      <c r="R206" s="111" t="s">
        <v>107</v>
      </c>
      <c r="S206" s="111"/>
      <c r="T206" s="281"/>
      <c r="U206" s="280">
        <f t="shared" si="8"/>
        <v>0</v>
      </c>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row>
    <row r="207" s="230" customFormat="1" ht="43.2" spans="1:248">
      <c r="A207" s="249" t="s">
        <v>899</v>
      </c>
      <c r="B207" s="251" t="s">
        <v>900</v>
      </c>
      <c r="C207" s="58" t="s">
        <v>24</v>
      </c>
      <c r="D207" s="252" t="s">
        <v>58</v>
      </c>
      <c r="E207" s="71" t="s">
        <v>901</v>
      </c>
      <c r="F207" s="250">
        <v>57.9</v>
      </c>
      <c r="G207" s="293" t="s">
        <v>692</v>
      </c>
      <c r="H207" s="293" t="s">
        <v>53</v>
      </c>
      <c r="I207" s="293" t="s">
        <v>902</v>
      </c>
      <c r="J207" s="89">
        <v>57.9</v>
      </c>
      <c r="K207" s="89">
        <v>0</v>
      </c>
      <c r="L207" s="250">
        <f t="shared" si="7"/>
        <v>0.13</v>
      </c>
      <c r="M207" s="89">
        <v>0.13</v>
      </c>
      <c r="N207" s="89">
        <v>0</v>
      </c>
      <c r="O207" s="268">
        <v>0.13</v>
      </c>
      <c r="P207" s="268">
        <v>0</v>
      </c>
      <c r="Q207" s="278"/>
      <c r="R207" s="111" t="s">
        <v>107</v>
      </c>
      <c r="S207" s="111"/>
      <c r="T207" s="281"/>
      <c r="U207" s="280">
        <f t="shared" si="8"/>
        <v>0</v>
      </c>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row>
    <row r="208" s="231" customFormat="1" ht="43.2" spans="1:248">
      <c r="A208" s="249" t="s">
        <v>903</v>
      </c>
      <c r="B208" s="251" t="s">
        <v>904</v>
      </c>
      <c r="C208" s="58" t="s">
        <v>24</v>
      </c>
      <c r="D208" s="252" t="s">
        <v>66</v>
      </c>
      <c r="E208" s="71" t="s">
        <v>905</v>
      </c>
      <c r="F208" s="250">
        <v>4740.85</v>
      </c>
      <c r="G208" s="293" t="s">
        <v>127</v>
      </c>
      <c r="H208" s="293" t="s">
        <v>53</v>
      </c>
      <c r="I208" s="293" t="s">
        <v>906</v>
      </c>
      <c r="J208" s="89">
        <v>4740.85</v>
      </c>
      <c r="K208" s="89">
        <v>0</v>
      </c>
      <c r="L208" s="250">
        <f t="shared" si="7"/>
        <v>120</v>
      </c>
      <c r="M208" s="250">
        <v>120</v>
      </c>
      <c r="N208" s="250">
        <v>0</v>
      </c>
      <c r="O208" s="250">
        <v>120</v>
      </c>
      <c r="P208" s="250">
        <v>0</v>
      </c>
      <c r="Q208" s="316"/>
      <c r="R208" s="316" t="s">
        <v>62</v>
      </c>
      <c r="S208" s="111"/>
      <c r="T208" s="239"/>
      <c r="U208" s="280">
        <f t="shared" si="8"/>
        <v>0</v>
      </c>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row>
    <row r="209" s="230" customFormat="1" ht="43.2" spans="1:248">
      <c r="A209" s="249" t="s">
        <v>907</v>
      </c>
      <c r="B209" s="251" t="s">
        <v>908</v>
      </c>
      <c r="C209" s="58" t="s">
        <v>24</v>
      </c>
      <c r="D209" s="252" t="s">
        <v>58</v>
      </c>
      <c r="E209" s="71" t="s">
        <v>909</v>
      </c>
      <c r="F209" s="250">
        <v>404.91</v>
      </c>
      <c r="G209" s="293" t="s">
        <v>741</v>
      </c>
      <c r="H209" s="293" t="s">
        <v>53</v>
      </c>
      <c r="I209" s="293" t="s">
        <v>910</v>
      </c>
      <c r="J209" s="89">
        <v>404.91</v>
      </c>
      <c r="K209" s="89">
        <v>0</v>
      </c>
      <c r="L209" s="250">
        <f t="shared" si="7"/>
        <v>5</v>
      </c>
      <c r="M209" s="250">
        <v>5</v>
      </c>
      <c r="N209" s="250">
        <v>0</v>
      </c>
      <c r="O209" s="250">
        <v>5</v>
      </c>
      <c r="P209" s="250">
        <v>0</v>
      </c>
      <c r="Q209" s="287"/>
      <c r="R209" s="287" t="s">
        <v>107</v>
      </c>
      <c r="S209" s="111"/>
      <c r="T209" s="239"/>
      <c r="U209" s="280">
        <f t="shared" si="8"/>
        <v>0</v>
      </c>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row>
    <row r="210" s="230" customFormat="1" ht="43.2" spans="1:248">
      <c r="A210" s="249" t="s">
        <v>911</v>
      </c>
      <c r="B210" s="251" t="s">
        <v>912</v>
      </c>
      <c r="C210" s="58" t="s">
        <v>24</v>
      </c>
      <c r="D210" s="252" t="s">
        <v>58</v>
      </c>
      <c r="E210" s="71" t="s">
        <v>913</v>
      </c>
      <c r="F210" s="250">
        <v>259.98</v>
      </c>
      <c r="G210" s="293" t="s">
        <v>476</v>
      </c>
      <c r="H210" s="293" t="s">
        <v>53</v>
      </c>
      <c r="I210" s="293" t="s">
        <v>914</v>
      </c>
      <c r="J210" s="89">
        <v>259.98</v>
      </c>
      <c r="K210" s="89">
        <v>0</v>
      </c>
      <c r="L210" s="250">
        <f t="shared" si="7"/>
        <v>5</v>
      </c>
      <c r="M210" s="250">
        <v>5</v>
      </c>
      <c r="N210" s="250">
        <v>0</v>
      </c>
      <c r="O210" s="250">
        <v>5</v>
      </c>
      <c r="P210" s="250">
        <v>0</v>
      </c>
      <c r="Q210" s="285"/>
      <c r="R210" s="287" t="s">
        <v>107</v>
      </c>
      <c r="S210" s="111"/>
      <c r="T210" s="239"/>
      <c r="U210" s="280">
        <f t="shared" si="8"/>
        <v>0</v>
      </c>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row>
    <row r="211" s="230" customFormat="1" ht="43.2" spans="1:248">
      <c r="A211" s="249" t="s">
        <v>915</v>
      </c>
      <c r="B211" s="251" t="s">
        <v>916</v>
      </c>
      <c r="C211" s="58" t="s">
        <v>24</v>
      </c>
      <c r="D211" s="252" t="s">
        <v>58</v>
      </c>
      <c r="E211" s="71" t="s">
        <v>917</v>
      </c>
      <c r="F211" s="250">
        <v>42</v>
      </c>
      <c r="G211" s="293" t="s">
        <v>513</v>
      </c>
      <c r="H211" s="293" t="s">
        <v>53</v>
      </c>
      <c r="I211" s="293" t="s">
        <v>918</v>
      </c>
      <c r="J211" s="89">
        <v>42</v>
      </c>
      <c r="K211" s="89">
        <v>0</v>
      </c>
      <c r="L211" s="250">
        <f t="shared" si="7"/>
        <v>1</v>
      </c>
      <c r="M211" s="250">
        <v>1</v>
      </c>
      <c r="N211" s="250">
        <v>0</v>
      </c>
      <c r="O211" s="250">
        <v>1</v>
      </c>
      <c r="P211" s="250">
        <v>0</v>
      </c>
      <c r="Q211" s="287"/>
      <c r="R211" s="287" t="s">
        <v>107</v>
      </c>
      <c r="S211" s="111"/>
      <c r="T211" s="239"/>
      <c r="U211" s="280">
        <f t="shared" si="8"/>
        <v>0</v>
      </c>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1"/>
      <c r="HH211" s="21"/>
      <c r="HI211" s="21"/>
      <c r="HJ211" s="21"/>
      <c r="HK211" s="21"/>
      <c r="HL211" s="21"/>
      <c r="HM211" s="21"/>
      <c r="HN211" s="21"/>
      <c r="HO211" s="21"/>
      <c r="HP211" s="21"/>
      <c r="HQ211" s="21"/>
      <c r="HR211" s="21"/>
      <c r="HS211" s="21"/>
      <c r="HT211" s="21"/>
      <c r="HU211" s="21"/>
      <c r="HV211" s="21"/>
      <c r="HW211" s="21"/>
      <c r="HX211" s="21"/>
      <c r="HY211" s="21"/>
      <c r="HZ211" s="21"/>
      <c r="IA211" s="21"/>
      <c r="IB211" s="21"/>
      <c r="IC211" s="21"/>
      <c r="ID211" s="21"/>
      <c r="IE211" s="21"/>
      <c r="IF211" s="21"/>
      <c r="IG211" s="21"/>
      <c r="IH211" s="21"/>
      <c r="II211" s="21"/>
      <c r="IJ211" s="21"/>
      <c r="IK211" s="21"/>
      <c r="IL211" s="21"/>
      <c r="IM211" s="21"/>
      <c r="IN211" s="21"/>
    </row>
    <row r="212" s="230" customFormat="1" ht="121" customHeight="1" spans="1:248">
      <c r="A212" s="249" t="s">
        <v>919</v>
      </c>
      <c r="B212" s="251" t="s">
        <v>920</v>
      </c>
      <c r="C212" s="58" t="s">
        <v>24</v>
      </c>
      <c r="D212" s="252" t="s">
        <v>304</v>
      </c>
      <c r="E212" s="71" t="s">
        <v>921</v>
      </c>
      <c r="F212" s="250">
        <v>1544.97</v>
      </c>
      <c r="G212" s="293" t="s">
        <v>156</v>
      </c>
      <c r="H212" s="293" t="s">
        <v>53</v>
      </c>
      <c r="I212" s="293" t="s">
        <v>922</v>
      </c>
      <c r="J212" s="89">
        <v>250</v>
      </c>
      <c r="K212" s="89">
        <v>0</v>
      </c>
      <c r="L212" s="250">
        <f t="shared" si="7"/>
        <v>200</v>
      </c>
      <c r="M212" s="250">
        <v>200</v>
      </c>
      <c r="N212" s="250">
        <v>0</v>
      </c>
      <c r="O212" s="72"/>
      <c r="P212" s="72"/>
      <c r="Q212" s="72"/>
      <c r="R212" s="72" t="s">
        <v>62</v>
      </c>
      <c r="S212" s="111" t="s">
        <v>63</v>
      </c>
      <c r="T212" s="239"/>
      <c r="U212" s="130"/>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c r="IN212" s="21"/>
    </row>
    <row r="213" s="230" customFormat="1" ht="49" customHeight="1" spans="1:248">
      <c r="A213" s="249" t="s">
        <v>923</v>
      </c>
      <c r="B213" s="72" t="s">
        <v>924</v>
      </c>
      <c r="C213" s="72" t="s">
        <v>24</v>
      </c>
      <c r="D213" s="72" t="s">
        <v>209</v>
      </c>
      <c r="E213" s="201" t="s">
        <v>545</v>
      </c>
      <c r="F213" s="250">
        <v>394.344964</v>
      </c>
      <c r="G213" s="72" t="s">
        <v>925</v>
      </c>
      <c r="H213" s="72" t="s">
        <v>53</v>
      </c>
      <c r="I213" s="72" t="s">
        <v>310</v>
      </c>
      <c r="J213" s="60">
        <v>394.34</v>
      </c>
      <c r="K213" s="60">
        <v>0</v>
      </c>
      <c r="L213" s="250">
        <v>120</v>
      </c>
      <c r="M213" s="60">
        <v>120</v>
      </c>
      <c r="N213" s="60">
        <v>0</v>
      </c>
      <c r="O213" s="313"/>
      <c r="P213" s="313"/>
      <c r="Q213" s="277"/>
      <c r="R213" s="277" t="s">
        <v>107</v>
      </c>
      <c r="S213" s="111"/>
      <c r="T213" s="239"/>
      <c r="U213" s="130"/>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c r="IN213" s="21"/>
    </row>
    <row r="214" s="230" customFormat="1" ht="72" spans="1:248">
      <c r="A214" s="249" t="s">
        <v>926</v>
      </c>
      <c r="B214" s="72" t="s">
        <v>927</v>
      </c>
      <c r="C214" s="72" t="s">
        <v>26</v>
      </c>
      <c r="D214" s="72" t="s">
        <v>58</v>
      </c>
      <c r="E214" s="201" t="s">
        <v>928</v>
      </c>
      <c r="F214" s="60">
        <v>19700</v>
      </c>
      <c r="G214" s="72" t="s">
        <v>929</v>
      </c>
      <c r="H214" s="293" t="s">
        <v>100</v>
      </c>
      <c r="I214" s="293" t="s">
        <v>930</v>
      </c>
      <c r="J214" s="60">
        <v>19700</v>
      </c>
      <c r="K214" s="60">
        <v>0</v>
      </c>
      <c r="L214" s="250">
        <f t="shared" ref="L214:L222" si="9">M214+N214</f>
        <v>3600</v>
      </c>
      <c r="M214" s="60">
        <v>3600</v>
      </c>
      <c r="N214" s="60">
        <v>0</v>
      </c>
      <c r="O214" s="60">
        <v>1600</v>
      </c>
      <c r="P214" s="60">
        <v>2000</v>
      </c>
      <c r="Q214" s="317"/>
      <c r="R214" s="72" t="s">
        <v>107</v>
      </c>
      <c r="S214" s="111" t="s">
        <v>63</v>
      </c>
      <c r="T214" s="129" t="s">
        <v>931</v>
      </c>
      <c r="U214" s="280">
        <f t="shared" ref="U214:U269" si="10">O214+P214-L214</f>
        <v>0</v>
      </c>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c r="CE214" s="143"/>
      <c r="CF214" s="143"/>
      <c r="CG214" s="143"/>
      <c r="CH214" s="143"/>
      <c r="CI214" s="143"/>
      <c r="CJ214" s="143"/>
      <c r="CK214" s="143"/>
      <c r="CL214" s="143"/>
      <c r="CM214" s="143"/>
      <c r="CN214" s="143"/>
      <c r="CO214" s="143"/>
      <c r="CP214" s="143"/>
      <c r="CQ214" s="143"/>
      <c r="CR214" s="143"/>
      <c r="CS214" s="143"/>
      <c r="CT214" s="143"/>
      <c r="CU214" s="143"/>
      <c r="CV214" s="143"/>
      <c r="CW214" s="143"/>
      <c r="CX214" s="143"/>
      <c r="CY214" s="143"/>
      <c r="CZ214" s="143"/>
      <c r="DA214" s="143"/>
      <c r="DB214" s="143"/>
      <c r="DC214" s="143"/>
      <c r="DD214" s="143"/>
      <c r="DE214" s="143"/>
      <c r="DF214" s="143"/>
      <c r="DG214" s="143"/>
      <c r="DH214" s="143"/>
      <c r="DI214" s="143"/>
      <c r="DJ214" s="143"/>
      <c r="DK214" s="143"/>
      <c r="DL214" s="143"/>
      <c r="DM214" s="143"/>
      <c r="DN214" s="143"/>
      <c r="DO214" s="143"/>
      <c r="DP214" s="143"/>
      <c r="DQ214" s="143"/>
      <c r="DR214" s="143"/>
      <c r="DS214" s="143"/>
      <c r="DT214" s="143"/>
      <c r="DU214" s="143"/>
      <c r="DV214" s="143"/>
      <c r="DW214" s="143"/>
      <c r="DX214" s="143"/>
      <c r="DY214" s="143"/>
      <c r="DZ214" s="143"/>
      <c r="EA214" s="143"/>
      <c r="EB214" s="143"/>
      <c r="EC214" s="143"/>
      <c r="ED214" s="143"/>
      <c r="EE214" s="143"/>
      <c r="EF214" s="143"/>
      <c r="EG214" s="143"/>
      <c r="EH214" s="143"/>
      <c r="EI214" s="143"/>
      <c r="EJ214" s="143"/>
      <c r="EK214" s="143"/>
      <c r="EL214" s="143"/>
      <c r="EM214" s="143"/>
      <c r="EN214" s="143"/>
      <c r="EO214" s="143"/>
      <c r="EP214" s="143"/>
      <c r="EQ214" s="143"/>
      <c r="ER214" s="143"/>
      <c r="ES214" s="143"/>
      <c r="ET214" s="143"/>
      <c r="EU214" s="143"/>
      <c r="EV214" s="143"/>
      <c r="EW214" s="143"/>
      <c r="EX214" s="143"/>
      <c r="EY214" s="143"/>
      <c r="EZ214" s="143"/>
      <c r="FA214" s="143"/>
      <c r="FB214" s="143"/>
      <c r="FC214" s="143"/>
      <c r="FD214" s="143"/>
      <c r="FE214" s="143"/>
      <c r="FF214" s="143"/>
      <c r="FG214" s="143"/>
      <c r="FH214" s="143"/>
      <c r="FI214" s="143"/>
      <c r="FJ214" s="143"/>
      <c r="FK214" s="143"/>
      <c r="FL214" s="143"/>
      <c r="FM214" s="143"/>
      <c r="FN214" s="143"/>
      <c r="FO214" s="143"/>
      <c r="FP214" s="143"/>
      <c r="FQ214" s="143"/>
      <c r="FR214" s="143"/>
      <c r="FS214" s="143"/>
      <c r="FT214" s="143"/>
      <c r="FU214" s="143"/>
      <c r="FV214" s="143"/>
      <c r="FW214" s="143"/>
      <c r="FX214" s="143"/>
      <c r="FY214" s="143"/>
      <c r="FZ214" s="143"/>
      <c r="GA214" s="143"/>
      <c r="GB214" s="143"/>
      <c r="GC214" s="143"/>
      <c r="GD214" s="143"/>
      <c r="GE214" s="143"/>
      <c r="GF214" s="143"/>
      <c r="GG214" s="143"/>
      <c r="GH214" s="143"/>
      <c r="GI214" s="143"/>
      <c r="GJ214" s="143"/>
      <c r="GK214" s="143"/>
      <c r="GL214" s="143"/>
      <c r="GM214" s="143"/>
      <c r="GN214" s="143"/>
      <c r="GO214" s="143"/>
      <c r="GP214" s="143"/>
      <c r="GQ214" s="143"/>
      <c r="GR214" s="143"/>
      <c r="GS214" s="143"/>
      <c r="GT214" s="143"/>
      <c r="GU214" s="143"/>
      <c r="GV214" s="143"/>
      <c r="GW214" s="143"/>
      <c r="GX214" s="143"/>
      <c r="GY214" s="143"/>
      <c r="GZ214" s="143"/>
      <c r="HA214" s="143"/>
      <c r="HB214" s="143"/>
      <c r="HC214" s="143"/>
      <c r="HD214" s="143"/>
      <c r="HE214" s="143"/>
      <c r="HF214" s="143"/>
      <c r="HG214" s="143"/>
      <c r="HH214" s="143"/>
      <c r="HI214" s="143"/>
      <c r="HJ214" s="143"/>
      <c r="HK214" s="143"/>
      <c r="HL214" s="143"/>
      <c r="HM214" s="143"/>
      <c r="HN214" s="143"/>
      <c r="HO214" s="143"/>
      <c r="HP214" s="143"/>
      <c r="HQ214" s="143"/>
      <c r="HR214" s="143"/>
      <c r="HS214" s="143"/>
      <c r="HT214" s="143"/>
      <c r="HU214" s="143"/>
      <c r="HV214" s="143"/>
      <c r="HW214" s="143"/>
      <c r="HX214" s="143"/>
      <c r="HY214" s="143"/>
      <c r="HZ214" s="143"/>
      <c r="IA214" s="143"/>
      <c r="IB214" s="143"/>
      <c r="IC214" s="143"/>
      <c r="ID214" s="143"/>
      <c r="IE214" s="143"/>
      <c r="IF214" s="143"/>
      <c r="IG214" s="143"/>
      <c r="IH214" s="143"/>
      <c r="II214" s="143"/>
      <c r="IJ214" s="143"/>
      <c r="IK214" s="143"/>
      <c r="IL214" s="143"/>
      <c r="IM214" s="143"/>
      <c r="IN214" s="143"/>
    </row>
    <row r="215" s="230" customFormat="1" ht="72" spans="1:248">
      <c r="A215" s="249" t="s">
        <v>932</v>
      </c>
      <c r="B215" s="252" t="s">
        <v>933</v>
      </c>
      <c r="C215" s="252" t="s">
        <v>26</v>
      </c>
      <c r="D215" s="252" t="s">
        <v>58</v>
      </c>
      <c r="E215" s="299" t="s">
        <v>934</v>
      </c>
      <c r="F215" s="250">
        <v>10375.94</v>
      </c>
      <c r="G215" s="300" t="s">
        <v>136</v>
      </c>
      <c r="H215" s="300" t="s">
        <v>53</v>
      </c>
      <c r="I215" s="300" t="s">
        <v>935</v>
      </c>
      <c r="J215" s="250">
        <v>10375.94</v>
      </c>
      <c r="K215" s="250">
        <v>0</v>
      </c>
      <c r="L215" s="250">
        <f t="shared" si="9"/>
        <v>1200</v>
      </c>
      <c r="M215" s="250">
        <v>1200</v>
      </c>
      <c r="N215" s="250">
        <v>0</v>
      </c>
      <c r="O215" s="60">
        <v>800</v>
      </c>
      <c r="P215" s="60">
        <v>400</v>
      </c>
      <c r="Q215" s="318"/>
      <c r="R215" s="319" t="s">
        <v>55</v>
      </c>
      <c r="S215" s="111"/>
      <c r="T215" s="281"/>
      <c r="U215" s="280">
        <f t="shared" si="10"/>
        <v>0</v>
      </c>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row>
    <row r="216" s="230" customFormat="1" ht="86.4" spans="1:248">
      <c r="A216" s="249" t="s">
        <v>936</v>
      </c>
      <c r="B216" s="301" t="s">
        <v>937</v>
      </c>
      <c r="C216" s="302" t="s">
        <v>26</v>
      </c>
      <c r="D216" s="252" t="s">
        <v>58</v>
      </c>
      <c r="E216" s="299" t="s">
        <v>938</v>
      </c>
      <c r="F216" s="250">
        <v>8774.19</v>
      </c>
      <c r="G216" s="303" t="s">
        <v>112</v>
      </c>
      <c r="H216" s="304" t="s">
        <v>53</v>
      </c>
      <c r="I216" s="303" t="s">
        <v>939</v>
      </c>
      <c r="J216" s="250">
        <v>8774.19</v>
      </c>
      <c r="K216" s="250">
        <v>0</v>
      </c>
      <c r="L216" s="250">
        <f t="shared" si="9"/>
        <v>1350</v>
      </c>
      <c r="M216" s="250">
        <v>1350</v>
      </c>
      <c r="N216" s="250">
        <v>0</v>
      </c>
      <c r="O216" s="60">
        <v>1200</v>
      </c>
      <c r="P216" s="60">
        <v>150</v>
      </c>
      <c r="Q216" s="320"/>
      <c r="R216" s="319" t="s">
        <v>55</v>
      </c>
      <c r="S216" s="111"/>
      <c r="T216" s="281"/>
      <c r="U216" s="280">
        <f t="shared" si="10"/>
        <v>0</v>
      </c>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row>
    <row r="217" s="230" customFormat="1" ht="57.6" spans="1:248">
      <c r="A217" s="249" t="s">
        <v>940</v>
      </c>
      <c r="B217" s="58" t="s">
        <v>941</v>
      </c>
      <c r="C217" s="58" t="s">
        <v>26</v>
      </c>
      <c r="D217" s="252" t="s">
        <v>58</v>
      </c>
      <c r="E217" s="71" t="s">
        <v>942</v>
      </c>
      <c r="F217" s="250">
        <v>5860</v>
      </c>
      <c r="G217" s="58" t="s">
        <v>179</v>
      </c>
      <c r="H217" s="58" t="s">
        <v>53</v>
      </c>
      <c r="I217" s="58" t="s">
        <v>943</v>
      </c>
      <c r="J217" s="89">
        <v>5860</v>
      </c>
      <c r="K217" s="89">
        <v>0</v>
      </c>
      <c r="L217" s="250">
        <f t="shared" si="9"/>
        <v>1200</v>
      </c>
      <c r="M217" s="89">
        <v>1200</v>
      </c>
      <c r="N217" s="89">
        <v>0</v>
      </c>
      <c r="O217" s="60">
        <v>1200</v>
      </c>
      <c r="P217" s="60">
        <v>0</v>
      </c>
      <c r="Q217" s="278"/>
      <c r="R217" s="111" t="s">
        <v>944</v>
      </c>
      <c r="S217" s="111"/>
      <c r="T217" s="281"/>
      <c r="U217" s="280">
        <f t="shared" si="10"/>
        <v>0</v>
      </c>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row>
    <row r="218" s="230" customFormat="1" ht="86.4" spans="1:248">
      <c r="A218" s="249" t="s">
        <v>945</v>
      </c>
      <c r="B218" s="252" t="s">
        <v>946</v>
      </c>
      <c r="C218" s="252" t="s">
        <v>26</v>
      </c>
      <c r="D218" s="252" t="s">
        <v>58</v>
      </c>
      <c r="E218" s="299" t="s">
        <v>947</v>
      </c>
      <c r="F218" s="250">
        <v>12650</v>
      </c>
      <c r="G218" s="300" t="s">
        <v>136</v>
      </c>
      <c r="H218" s="300" t="s">
        <v>53</v>
      </c>
      <c r="I218" s="300" t="s">
        <v>948</v>
      </c>
      <c r="J218" s="250">
        <v>12650</v>
      </c>
      <c r="K218" s="250">
        <v>0</v>
      </c>
      <c r="L218" s="250">
        <f t="shared" si="9"/>
        <v>1000</v>
      </c>
      <c r="M218" s="250">
        <v>1000</v>
      </c>
      <c r="N218" s="250">
        <v>0</v>
      </c>
      <c r="O218" s="60">
        <v>800</v>
      </c>
      <c r="P218" s="60">
        <v>200</v>
      </c>
      <c r="Q218" s="320"/>
      <c r="R218" s="111" t="s">
        <v>55</v>
      </c>
      <c r="S218" s="111"/>
      <c r="T218" s="281"/>
      <c r="U218" s="280">
        <f t="shared" si="10"/>
        <v>0</v>
      </c>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row>
    <row r="219" s="230" customFormat="1" ht="129.6" spans="1:248">
      <c r="A219" s="249" t="s">
        <v>949</v>
      </c>
      <c r="B219" s="61" t="s">
        <v>950</v>
      </c>
      <c r="C219" s="72" t="s">
        <v>26</v>
      </c>
      <c r="D219" s="200" t="s">
        <v>140</v>
      </c>
      <c r="E219" s="171" t="s">
        <v>951</v>
      </c>
      <c r="F219" s="174">
        <v>5538.91</v>
      </c>
      <c r="G219" s="174" t="s">
        <v>156</v>
      </c>
      <c r="H219" s="57" t="s">
        <v>53</v>
      </c>
      <c r="I219" s="57" t="s">
        <v>952</v>
      </c>
      <c r="J219" s="185">
        <v>5538.91</v>
      </c>
      <c r="K219" s="185">
        <v>0</v>
      </c>
      <c r="L219" s="250">
        <f t="shared" si="9"/>
        <v>935.15</v>
      </c>
      <c r="M219" s="185">
        <v>935.15</v>
      </c>
      <c r="N219" s="174">
        <v>0</v>
      </c>
      <c r="O219" s="60">
        <v>92</v>
      </c>
      <c r="P219" s="60">
        <v>843.15</v>
      </c>
      <c r="Q219" s="317"/>
      <c r="R219" s="111" t="s">
        <v>55</v>
      </c>
      <c r="S219" s="111" t="s">
        <v>63</v>
      </c>
      <c r="T219" s="226"/>
      <c r="U219" s="280">
        <f t="shared" si="10"/>
        <v>0</v>
      </c>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c r="BU219" s="143"/>
      <c r="BV219" s="143"/>
      <c r="BW219" s="143"/>
      <c r="BX219" s="143"/>
      <c r="BY219" s="143"/>
      <c r="BZ219" s="143"/>
      <c r="CA219" s="143"/>
      <c r="CB219" s="143"/>
      <c r="CC219" s="143"/>
      <c r="CD219" s="143"/>
      <c r="CE219" s="143"/>
      <c r="CF219" s="143"/>
      <c r="CG219" s="143"/>
      <c r="CH219" s="143"/>
      <c r="CI219" s="143"/>
      <c r="CJ219" s="143"/>
      <c r="CK219" s="143"/>
      <c r="CL219" s="143"/>
      <c r="CM219" s="143"/>
      <c r="CN219" s="143"/>
      <c r="CO219" s="143"/>
      <c r="CP219" s="143"/>
      <c r="CQ219" s="143"/>
      <c r="CR219" s="143"/>
      <c r="CS219" s="143"/>
      <c r="CT219" s="143"/>
      <c r="CU219" s="143"/>
      <c r="CV219" s="143"/>
      <c r="CW219" s="143"/>
      <c r="CX219" s="143"/>
      <c r="CY219" s="143"/>
      <c r="CZ219" s="143"/>
      <c r="DA219" s="143"/>
      <c r="DB219" s="143"/>
      <c r="DC219" s="143"/>
      <c r="DD219" s="143"/>
      <c r="DE219" s="143"/>
      <c r="DF219" s="143"/>
      <c r="DG219" s="143"/>
      <c r="DH219" s="143"/>
      <c r="DI219" s="143"/>
      <c r="DJ219" s="143"/>
      <c r="DK219" s="143"/>
      <c r="DL219" s="143"/>
      <c r="DM219" s="143"/>
      <c r="DN219" s="143"/>
      <c r="DO219" s="143"/>
      <c r="DP219" s="143"/>
      <c r="DQ219" s="143"/>
      <c r="DR219" s="143"/>
      <c r="DS219" s="143"/>
      <c r="DT219" s="143"/>
      <c r="DU219" s="143"/>
      <c r="DV219" s="143"/>
      <c r="DW219" s="143"/>
      <c r="DX219" s="143"/>
      <c r="DY219" s="143"/>
      <c r="DZ219" s="143"/>
      <c r="EA219" s="143"/>
      <c r="EB219" s="143"/>
      <c r="EC219" s="143"/>
      <c r="ED219" s="143"/>
      <c r="EE219" s="143"/>
      <c r="EF219" s="143"/>
      <c r="EG219" s="143"/>
      <c r="EH219" s="143"/>
      <c r="EI219" s="143"/>
      <c r="EJ219" s="143"/>
      <c r="EK219" s="143"/>
      <c r="EL219" s="143"/>
      <c r="EM219" s="143"/>
      <c r="EN219" s="143"/>
      <c r="EO219" s="143"/>
      <c r="EP219" s="143"/>
      <c r="EQ219" s="143"/>
      <c r="ER219" s="143"/>
      <c r="ES219" s="143"/>
      <c r="ET219" s="143"/>
      <c r="EU219" s="143"/>
      <c r="EV219" s="143"/>
      <c r="EW219" s="143"/>
      <c r="EX219" s="143"/>
      <c r="EY219" s="143"/>
      <c r="EZ219" s="143"/>
      <c r="FA219" s="143"/>
      <c r="FB219" s="143"/>
      <c r="FC219" s="143"/>
      <c r="FD219" s="143"/>
      <c r="FE219" s="143"/>
      <c r="FF219" s="143"/>
      <c r="FG219" s="143"/>
      <c r="FH219" s="143"/>
      <c r="FI219" s="143"/>
      <c r="FJ219" s="143"/>
      <c r="FK219" s="143"/>
      <c r="FL219" s="143"/>
      <c r="FM219" s="143"/>
      <c r="FN219" s="143"/>
      <c r="FO219" s="143"/>
      <c r="FP219" s="143"/>
      <c r="FQ219" s="143"/>
      <c r="FR219" s="143"/>
      <c r="FS219" s="143"/>
      <c r="FT219" s="143"/>
      <c r="FU219" s="143"/>
      <c r="FV219" s="143"/>
      <c r="FW219" s="143"/>
      <c r="FX219" s="143"/>
      <c r="FY219" s="143"/>
      <c r="FZ219" s="143"/>
      <c r="GA219" s="143"/>
      <c r="GB219" s="143"/>
      <c r="GC219" s="143"/>
      <c r="GD219" s="143"/>
      <c r="GE219" s="143"/>
      <c r="GF219" s="143"/>
      <c r="GG219" s="143"/>
      <c r="GH219" s="143"/>
      <c r="GI219" s="143"/>
      <c r="GJ219" s="143"/>
      <c r="GK219" s="143"/>
      <c r="GL219" s="143"/>
      <c r="GM219" s="143"/>
      <c r="GN219" s="143"/>
      <c r="GO219" s="143"/>
      <c r="GP219" s="143"/>
      <c r="GQ219" s="143"/>
      <c r="GR219" s="143"/>
      <c r="GS219" s="143"/>
      <c r="GT219" s="143"/>
      <c r="GU219" s="143"/>
      <c r="GV219" s="143"/>
      <c r="GW219" s="143"/>
      <c r="GX219" s="143"/>
      <c r="GY219" s="143"/>
      <c r="GZ219" s="143"/>
      <c r="HA219" s="143"/>
      <c r="HB219" s="143"/>
      <c r="HC219" s="143"/>
      <c r="HD219" s="143"/>
      <c r="HE219" s="143"/>
      <c r="HF219" s="143"/>
      <c r="HG219" s="143"/>
      <c r="HH219" s="143"/>
      <c r="HI219" s="143"/>
      <c r="HJ219" s="143"/>
      <c r="HK219" s="143"/>
      <c r="HL219" s="143"/>
      <c r="HM219" s="143"/>
      <c r="HN219" s="143"/>
      <c r="HO219" s="143"/>
      <c r="HP219" s="143"/>
      <c r="HQ219" s="143"/>
      <c r="HR219" s="143"/>
      <c r="HS219" s="143"/>
      <c r="HT219" s="143"/>
      <c r="HU219" s="143"/>
      <c r="HV219" s="143"/>
      <c r="HW219" s="143"/>
      <c r="HX219" s="143"/>
      <c r="HY219" s="143"/>
      <c r="HZ219" s="143"/>
      <c r="IA219" s="143"/>
      <c r="IB219" s="143"/>
      <c r="IC219" s="143"/>
      <c r="ID219" s="143"/>
      <c r="IE219" s="143"/>
      <c r="IF219" s="143"/>
      <c r="IG219" s="143"/>
      <c r="IH219" s="143"/>
      <c r="II219" s="143"/>
      <c r="IJ219" s="143"/>
      <c r="IK219" s="143"/>
      <c r="IL219" s="143"/>
      <c r="IM219" s="143"/>
      <c r="IN219" s="143"/>
    </row>
    <row r="220" s="230" customFormat="1" ht="57.6" spans="1:248">
      <c r="A220" s="249" t="s">
        <v>953</v>
      </c>
      <c r="B220" s="252" t="s">
        <v>954</v>
      </c>
      <c r="C220" s="252" t="s">
        <v>26</v>
      </c>
      <c r="D220" s="252" t="s">
        <v>58</v>
      </c>
      <c r="E220" s="299" t="s">
        <v>955</v>
      </c>
      <c r="F220" s="250">
        <v>4454.65</v>
      </c>
      <c r="G220" s="300" t="s">
        <v>242</v>
      </c>
      <c r="H220" s="300" t="s">
        <v>53</v>
      </c>
      <c r="I220" s="300" t="s">
        <v>956</v>
      </c>
      <c r="J220" s="250">
        <v>4454.65</v>
      </c>
      <c r="K220" s="250">
        <v>0</v>
      </c>
      <c r="L220" s="250">
        <f t="shared" si="9"/>
        <v>590</v>
      </c>
      <c r="M220" s="250">
        <v>590</v>
      </c>
      <c r="N220" s="250">
        <v>0</v>
      </c>
      <c r="O220" s="60">
        <v>450</v>
      </c>
      <c r="P220" s="60">
        <v>140</v>
      </c>
      <c r="Q220" s="318"/>
      <c r="R220" s="111" t="s">
        <v>55</v>
      </c>
      <c r="S220" s="111"/>
      <c r="T220" s="281"/>
      <c r="U220" s="280">
        <f t="shared" si="10"/>
        <v>0</v>
      </c>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c r="ID220" s="28"/>
      <c r="IE220" s="28"/>
      <c r="IF220" s="28"/>
      <c r="IG220" s="28"/>
      <c r="IH220" s="28"/>
      <c r="II220" s="28"/>
      <c r="IJ220" s="28"/>
      <c r="IK220" s="28"/>
      <c r="IL220" s="28"/>
      <c r="IM220" s="28"/>
      <c r="IN220" s="28"/>
    </row>
    <row r="221" s="230" customFormat="1" ht="72" spans="1:248">
      <c r="A221" s="249" t="s">
        <v>957</v>
      </c>
      <c r="B221" s="58" t="s">
        <v>958</v>
      </c>
      <c r="C221" s="58" t="s">
        <v>26</v>
      </c>
      <c r="D221" s="252" t="s">
        <v>58</v>
      </c>
      <c r="E221" s="71" t="s">
        <v>959</v>
      </c>
      <c r="F221" s="250">
        <v>3013.49</v>
      </c>
      <c r="G221" s="89" t="s">
        <v>112</v>
      </c>
      <c r="H221" s="58" t="s">
        <v>53</v>
      </c>
      <c r="I221" s="89" t="s">
        <v>960</v>
      </c>
      <c r="J221" s="89">
        <v>3013.49</v>
      </c>
      <c r="K221" s="89">
        <v>0</v>
      </c>
      <c r="L221" s="250">
        <f t="shared" si="9"/>
        <v>750</v>
      </c>
      <c r="M221" s="89">
        <v>750</v>
      </c>
      <c r="N221" s="89">
        <v>0</v>
      </c>
      <c r="O221" s="60">
        <v>700</v>
      </c>
      <c r="P221" s="60">
        <v>50</v>
      </c>
      <c r="Q221" s="278"/>
      <c r="R221" s="111" t="s">
        <v>55</v>
      </c>
      <c r="S221" s="111"/>
      <c r="T221" s="281"/>
      <c r="U221" s="280">
        <f t="shared" si="10"/>
        <v>0</v>
      </c>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row>
    <row r="222" s="230" customFormat="1" ht="72" spans="1:248">
      <c r="A222" s="249" t="s">
        <v>961</v>
      </c>
      <c r="B222" s="57" t="s">
        <v>962</v>
      </c>
      <c r="C222" s="57" t="s">
        <v>26</v>
      </c>
      <c r="D222" s="57" t="s">
        <v>145</v>
      </c>
      <c r="E222" s="59" t="s">
        <v>963</v>
      </c>
      <c r="F222" s="250">
        <v>1383.39</v>
      </c>
      <c r="G222" s="57" t="s">
        <v>242</v>
      </c>
      <c r="H222" s="57" t="s">
        <v>53</v>
      </c>
      <c r="I222" s="57" t="s">
        <v>964</v>
      </c>
      <c r="J222" s="185">
        <v>1383.39</v>
      </c>
      <c r="K222" s="185">
        <v>0</v>
      </c>
      <c r="L222" s="250">
        <f t="shared" si="9"/>
        <v>729.1</v>
      </c>
      <c r="M222" s="185">
        <v>729.1</v>
      </c>
      <c r="N222" s="174">
        <v>0</v>
      </c>
      <c r="O222" s="60">
        <v>728.5</v>
      </c>
      <c r="P222" s="60">
        <v>0.600000000000023</v>
      </c>
      <c r="Q222" s="276"/>
      <c r="R222" s="277" t="s">
        <v>95</v>
      </c>
      <c r="S222" s="111"/>
      <c r="T222" s="281"/>
      <c r="U222" s="280">
        <f t="shared" si="10"/>
        <v>0</v>
      </c>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row>
    <row r="223" s="230" customFormat="1" ht="72" spans="1:248">
      <c r="A223" s="249" t="s">
        <v>965</v>
      </c>
      <c r="B223" s="252" t="s">
        <v>966</v>
      </c>
      <c r="C223" s="252" t="s">
        <v>26</v>
      </c>
      <c r="D223" s="252" t="s">
        <v>58</v>
      </c>
      <c r="E223" s="299" t="s">
        <v>967</v>
      </c>
      <c r="F223" s="250">
        <v>2677.9</v>
      </c>
      <c r="G223" s="300" t="s">
        <v>112</v>
      </c>
      <c r="H223" s="300" t="s">
        <v>53</v>
      </c>
      <c r="I223" s="300" t="s">
        <v>968</v>
      </c>
      <c r="J223" s="250">
        <v>2677.9</v>
      </c>
      <c r="K223" s="250">
        <v>0</v>
      </c>
      <c r="L223" s="250">
        <f t="shared" ref="L223:L238" si="11">M223+N223</f>
        <v>600</v>
      </c>
      <c r="M223" s="250">
        <v>600</v>
      </c>
      <c r="N223" s="250">
        <v>0</v>
      </c>
      <c r="O223" s="60">
        <v>550</v>
      </c>
      <c r="P223" s="60">
        <v>50</v>
      </c>
      <c r="Q223" s="320"/>
      <c r="R223" s="321" t="s">
        <v>55</v>
      </c>
      <c r="S223" s="111"/>
      <c r="T223" s="281"/>
      <c r="U223" s="280">
        <f t="shared" si="10"/>
        <v>0</v>
      </c>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row>
    <row r="224" s="230" customFormat="1" ht="100.8" spans="1:248">
      <c r="A224" s="249" t="s">
        <v>969</v>
      </c>
      <c r="B224" s="252" t="s">
        <v>970</v>
      </c>
      <c r="C224" s="252" t="s">
        <v>26</v>
      </c>
      <c r="D224" s="252" t="s">
        <v>58</v>
      </c>
      <c r="E224" s="299" t="s">
        <v>971</v>
      </c>
      <c r="F224" s="250">
        <v>9219.45</v>
      </c>
      <c r="G224" s="300" t="s">
        <v>136</v>
      </c>
      <c r="H224" s="300" t="s">
        <v>53</v>
      </c>
      <c r="I224" s="300" t="s">
        <v>972</v>
      </c>
      <c r="J224" s="250">
        <v>9219.45</v>
      </c>
      <c r="K224" s="250">
        <v>0</v>
      </c>
      <c r="L224" s="250">
        <f t="shared" si="11"/>
        <v>1000</v>
      </c>
      <c r="M224" s="250">
        <v>1000</v>
      </c>
      <c r="N224" s="250">
        <v>0</v>
      </c>
      <c r="O224" s="60">
        <v>800</v>
      </c>
      <c r="P224" s="60">
        <v>200</v>
      </c>
      <c r="Q224" s="318"/>
      <c r="R224" s="321" t="s">
        <v>55</v>
      </c>
      <c r="S224" s="111"/>
      <c r="T224" s="281"/>
      <c r="U224" s="280">
        <f t="shared" si="10"/>
        <v>0</v>
      </c>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row>
    <row r="225" s="230" customFormat="1" ht="57.6" spans="1:248">
      <c r="A225" s="249" t="s">
        <v>973</v>
      </c>
      <c r="B225" s="57" t="s">
        <v>974</v>
      </c>
      <c r="C225" s="57" t="s">
        <v>26</v>
      </c>
      <c r="D225" s="57" t="s">
        <v>145</v>
      </c>
      <c r="E225" s="59" t="s">
        <v>975</v>
      </c>
      <c r="F225" s="250">
        <v>1393.19</v>
      </c>
      <c r="G225" s="305" t="s">
        <v>147</v>
      </c>
      <c r="H225" s="305" t="s">
        <v>53</v>
      </c>
      <c r="I225" s="305" t="s">
        <v>976</v>
      </c>
      <c r="J225" s="185">
        <v>1393.19</v>
      </c>
      <c r="K225" s="185">
        <v>0</v>
      </c>
      <c r="L225" s="250">
        <f t="shared" si="11"/>
        <v>327</v>
      </c>
      <c r="M225" s="185">
        <v>327</v>
      </c>
      <c r="N225" s="174">
        <v>0</v>
      </c>
      <c r="O225" s="60">
        <v>320</v>
      </c>
      <c r="P225" s="60">
        <v>7</v>
      </c>
      <c r="Q225" s="276"/>
      <c r="R225" s="277" t="s">
        <v>95</v>
      </c>
      <c r="S225" s="111"/>
      <c r="T225" s="281"/>
      <c r="U225" s="280">
        <f t="shared" si="10"/>
        <v>0</v>
      </c>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c r="GV225" s="28"/>
      <c r="GW225" s="28"/>
      <c r="GX225" s="28"/>
      <c r="GY225" s="28"/>
      <c r="GZ225" s="28"/>
      <c r="HA225" s="28"/>
      <c r="HB225" s="28"/>
      <c r="HC225" s="28"/>
      <c r="HD225" s="28"/>
      <c r="HE225" s="28"/>
      <c r="HF225" s="28"/>
      <c r="HG225" s="28"/>
      <c r="HH225" s="28"/>
      <c r="HI225" s="28"/>
      <c r="HJ225" s="28"/>
      <c r="HK225" s="28"/>
      <c r="HL225" s="28"/>
      <c r="HM225" s="28"/>
      <c r="HN225" s="28"/>
      <c r="HO225" s="28"/>
      <c r="HP225" s="28"/>
      <c r="HQ225" s="28"/>
      <c r="HR225" s="28"/>
      <c r="HS225" s="28"/>
      <c r="HT225" s="28"/>
      <c r="HU225" s="28"/>
      <c r="HV225" s="28"/>
      <c r="HW225" s="28"/>
      <c r="HX225" s="28"/>
      <c r="HY225" s="28"/>
      <c r="HZ225" s="28"/>
      <c r="IA225" s="28"/>
      <c r="IB225" s="28"/>
      <c r="IC225" s="28"/>
      <c r="ID225" s="28"/>
      <c r="IE225" s="28"/>
      <c r="IF225" s="28"/>
      <c r="IG225" s="28"/>
      <c r="IH225" s="28"/>
      <c r="II225" s="28"/>
      <c r="IJ225" s="28"/>
      <c r="IK225" s="28"/>
      <c r="IL225" s="28"/>
      <c r="IM225" s="28"/>
      <c r="IN225" s="28"/>
    </row>
    <row r="226" s="230" customFormat="1" ht="43.2" spans="1:248">
      <c r="A226" s="249" t="s">
        <v>977</v>
      </c>
      <c r="B226" s="57" t="s">
        <v>978</v>
      </c>
      <c r="C226" s="57" t="s">
        <v>26</v>
      </c>
      <c r="D226" s="57" t="s">
        <v>145</v>
      </c>
      <c r="E226" s="59" t="s">
        <v>979</v>
      </c>
      <c r="F226" s="250">
        <v>832.57</v>
      </c>
      <c r="G226" s="57" t="s">
        <v>78</v>
      </c>
      <c r="H226" s="57" t="s">
        <v>53</v>
      </c>
      <c r="I226" s="57" t="s">
        <v>980</v>
      </c>
      <c r="J226" s="185">
        <v>832.57</v>
      </c>
      <c r="K226" s="185">
        <v>0</v>
      </c>
      <c r="L226" s="250">
        <f t="shared" si="11"/>
        <v>170.2</v>
      </c>
      <c r="M226" s="185">
        <v>170.2</v>
      </c>
      <c r="N226" s="174">
        <v>0</v>
      </c>
      <c r="O226" s="60">
        <v>170.2</v>
      </c>
      <c r="P226" s="60">
        <v>0</v>
      </c>
      <c r="Q226" s="276"/>
      <c r="R226" s="277" t="s">
        <v>95</v>
      </c>
      <c r="S226" s="111"/>
      <c r="T226" s="281"/>
      <c r="U226" s="280">
        <f t="shared" si="10"/>
        <v>0</v>
      </c>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c r="ID226" s="28"/>
      <c r="IE226" s="28"/>
      <c r="IF226" s="28"/>
      <c r="IG226" s="28"/>
      <c r="IH226" s="28"/>
      <c r="II226" s="28"/>
      <c r="IJ226" s="28"/>
      <c r="IK226" s="28"/>
      <c r="IL226" s="28"/>
      <c r="IM226" s="28"/>
      <c r="IN226" s="28"/>
    </row>
    <row r="227" s="230" customFormat="1" ht="43.2" spans="1:248">
      <c r="A227" s="249" t="s">
        <v>981</v>
      </c>
      <c r="B227" s="301" t="s">
        <v>982</v>
      </c>
      <c r="C227" s="302" t="s">
        <v>26</v>
      </c>
      <c r="D227" s="252" t="s">
        <v>58</v>
      </c>
      <c r="E227" s="299" t="s">
        <v>983</v>
      </c>
      <c r="F227" s="250">
        <v>439.52</v>
      </c>
      <c r="G227" s="303" t="s">
        <v>93</v>
      </c>
      <c r="H227" s="306" t="s">
        <v>53</v>
      </c>
      <c r="I227" s="303" t="s">
        <v>984</v>
      </c>
      <c r="J227" s="250">
        <v>439.52</v>
      </c>
      <c r="K227" s="250">
        <v>0</v>
      </c>
      <c r="L227" s="250">
        <f t="shared" si="11"/>
        <v>100</v>
      </c>
      <c r="M227" s="250">
        <v>100</v>
      </c>
      <c r="N227" s="250">
        <v>0</v>
      </c>
      <c r="O227" s="60">
        <v>80</v>
      </c>
      <c r="P227" s="60">
        <v>20</v>
      </c>
      <c r="Q227" s="320"/>
      <c r="R227" s="322" t="s">
        <v>55</v>
      </c>
      <c r="S227" s="111"/>
      <c r="T227" s="281"/>
      <c r="U227" s="280">
        <f t="shared" si="10"/>
        <v>0</v>
      </c>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c r="ID227" s="28"/>
      <c r="IE227" s="28"/>
      <c r="IF227" s="28"/>
      <c r="IG227" s="28"/>
      <c r="IH227" s="28"/>
      <c r="II227" s="28"/>
      <c r="IJ227" s="28"/>
      <c r="IK227" s="28"/>
      <c r="IL227" s="28"/>
      <c r="IM227" s="28"/>
      <c r="IN227" s="28"/>
    </row>
    <row r="228" s="230" customFormat="1" ht="57.6" spans="1:248">
      <c r="A228" s="249" t="s">
        <v>985</v>
      </c>
      <c r="B228" s="301" t="s">
        <v>986</v>
      </c>
      <c r="C228" s="301" t="s">
        <v>26</v>
      </c>
      <c r="D228" s="252" t="s">
        <v>58</v>
      </c>
      <c r="E228" s="299" t="s">
        <v>987</v>
      </c>
      <c r="F228" s="250">
        <v>392.9</v>
      </c>
      <c r="G228" s="303" t="s">
        <v>117</v>
      </c>
      <c r="H228" s="303" t="s">
        <v>53</v>
      </c>
      <c r="I228" s="303" t="s">
        <v>988</v>
      </c>
      <c r="J228" s="250">
        <v>392.9</v>
      </c>
      <c r="K228" s="314">
        <v>0</v>
      </c>
      <c r="L228" s="250">
        <f t="shared" si="11"/>
        <v>39.74</v>
      </c>
      <c r="M228" s="250">
        <v>39.74</v>
      </c>
      <c r="N228" s="250">
        <v>0</v>
      </c>
      <c r="O228" s="60">
        <v>39.74</v>
      </c>
      <c r="P228" s="60">
        <v>0</v>
      </c>
      <c r="Q228" s="320"/>
      <c r="R228" s="322" t="s">
        <v>55</v>
      </c>
      <c r="S228" s="111"/>
      <c r="T228" s="281"/>
      <c r="U228" s="280">
        <f t="shared" si="10"/>
        <v>0</v>
      </c>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row>
    <row r="229" s="230" customFormat="1" ht="57.6" spans="1:248">
      <c r="A229" s="249" t="s">
        <v>989</v>
      </c>
      <c r="B229" s="307" t="s">
        <v>990</v>
      </c>
      <c r="C229" s="307" t="s">
        <v>26</v>
      </c>
      <c r="D229" s="252" t="s">
        <v>58</v>
      </c>
      <c r="E229" s="299" t="s">
        <v>991</v>
      </c>
      <c r="F229" s="250">
        <v>396.14</v>
      </c>
      <c r="G229" s="308" t="s">
        <v>93</v>
      </c>
      <c r="H229" s="306" t="s">
        <v>53</v>
      </c>
      <c r="I229" s="303" t="s">
        <v>968</v>
      </c>
      <c r="J229" s="250">
        <v>396.14</v>
      </c>
      <c r="K229" s="250">
        <v>0</v>
      </c>
      <c r="L229" s="250">
        <f t="shared" si="11"/>
        <v>70</v>
      </c>
      <c r="M229" s="250">
        <v>70</v>
      </c>
      <c r="N229" s="250">
        <v>0</v>
      </c>
      <c r="O229" s="60">
        <v>60</v>
      </c>
      <c r="P229" s="60">
        <v>10</v>
      </c>
      <c r="Q229" s="320"/>
      <c r="R229" s="322" t="s">
        <v>55</v>
      </c>
      <c r="S229" s="111"/>
      <c r="T229" s="281"/>
      <c r="U229" s="280">
        <f t="shared" si="10"/>
        <v>0</v>
      </c>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c r="ID229" s="28"/>
      <c r="IE229" s="28"/>
      <c r="IF229" s="28"/>
      <c r="IG229" s="28"/>
      <c r="IH229" s="28"/>
      <c r="II229" s="28"/>
      <c r="IJ229" s="28"/>
      <c r="IK229" s="28"/>
      <c r="IL229" s="28"/>
      <c r="IM229" s="28"/>
      <c r="IN229" s="28"/>
    </row>
    <row r="230" s="230" customFormat="1" ht="28.8" spans="1:248">
      <c r="A230" s="249" t="s">
        <v>992</v>
      </c>
      <c r="B230" s="309" t="s">
        <v>993</v>
      </c>
      <c r="C230" s="252" t="s">
        <v>26</v>
      </c>
      <c r="D230" s="252" t="s">
        <v>58</v>
      </c>
      <c r="E230" s="299" t="s">
        <v>994</v>
      </c>
      <c r="F230" s="250">
        <v>115.66</v>
      </c>
      <c r="G230" s="300" t="s">
        <v>595</v>
      </c>
      <c r="H230" s="300" t="s">
        <v>53</v>
      </c>
      <c r="I230" s="300" t="s">
        <v>995</v>
      </c>
      <c r="J230" s="250">
        <v>115.66</v>
      </c>
      <c r="K230" s="250">
        <v>0</v>
      </c>
      <c r="L230" s="250">
        <f t="shared" si="11"/>
        <v>40</v>
      </c>
      <c r="M230" s="250">
        <v>40</v>
      </c>
      <c r="N230" s="250">
        <v>0</v>
      </c>
      <c r="O230" s="60">
        <v>30</v>
      </c>
      <c r="P230" s="60">
        <v>10</v>
      </c>
      <c r="Q230" s="320"/>
      <c r="R230" s="322" t="s">
        <v>55</v>
      </c>
      <c r="S230" s="111"/>
      <c r="T230" s="281"/>
      <c r="U230" s="280">
        <f t="shared" si="10"/>
        <v>0</v>
      </c>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c r="ID230" s="28"/>
      <c r="IE230" s="28"/>
      <c r="IF230" s="28"/>
      <c r="IG230" s="28"/>
      <c r="IH230" s="28"/>
      <c r="II230" s="28"/>
      <c r="IJ230" s="28"/>
      <c r="IK230" s="28"/>
      <c r="IL230" s="28"/>
      <c r="IM230" s="28"/>
      <c r="IN230" s="28"/>
    </row>
    <row r="231" s="230" customFormat="1" ht="43.2" spans="1:248">
      <c r="A231" s="249" t="s">
        <v>996</v>
      </c>
      <c r="B231" s="301" t="s">
        <v>997</v>
      </c>
      <c r="C231" s="252" t="s">
        <v>26</v>
      </c>
      <c r="D231" s="252" t="s">
        <v>58</v>
      </c>
      <c r="E231" s="299" t="s">
        <v>998</v>
      </c>
      <c r="F231" s="250">
        <v>5292.61</v>
      </c>
      <c r="G231" s="310" t="s">
        <v>347</v>
      </c>
      <c r="H231" s="252" t="s">
        <v>53</v>
      </c>
      <c r="I231" s="252" t="s">
        <v>999</v>
      </c>
      <c r="J231" s="250">
        <v>5292.61</v>
      </c>
      <c r="K231" s="250">
        <v>0</v>
      </c>
      <c r="L231" s="250">
        <f t="shared" si="11"/>
        <v>40</v>
      </c>
      <c r="M231" s="250">
        <v>40</v>
      </c>
      <c r="N231" s="250">
        <v>0</v>
      </c>
      <c r="O231" s="60">
        <v>30</v>
      </c>
      <c r="P231" s="60">
        <v>10</v>
      </c>
      <c r="Q231" s="323"/>
      <c r="R231" s="322" t="s">
        <v>55</v>
      </c>
      <c r="S231" s="111"/>
      <c r="T231" s="281"/>
      <c r="U231" s="280">
        <f t="shared" si="10"/>
        <v>0</v>
      </c>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row>
    <row r="232" s="230" customFormat="1" ht="144" spans="1:248">
      <c r="A232" s="249" t="s">
        <v>1000</v>
      </c>
      <c r="B232" s="309" t="s">
        <v>1001</v>
      </c>
      <c r="C232" s="252" t="s">
        <v>26</v>
      </c>
      <c r="D232" s="252" t="s">
        <v>58</v>
      </c>
      <c r="E232" s="299" t="s">
        <v>1002</v>
      </c>
      <c r="F232" s="250">
        <v>5175.69</v>
      </c>
      <c r="G232" s="300" t="s">
        <v>161</v>
      </c>
      <c r="H232" s="300" t="s">
        <v>53</v>
      </c>
      <c r="I232" s="300" t="s">
        <v>1003</v>
      </c>
      <c r="J232" s="250">
        <v>5175.69</v>
      </c>
      <c r="K232" s="250">
        <v>0</v>
      </c>
      <c r="L232" s="250">
        <f t="shared" si="11"/>
        <v>30</v>
      </c>
      <c r="M232" s="250">
        <v>30</v>
      </c>
      <c r="N232" s="250">
        <v>0</v>
      </c>
      <c r="O232" s="60">
        <v>20</v>
      </c>
      <c r="P232" s="60">
        <v>10</v>
      </c>
      <c r="Q232" s="320"/>
      <c r="R232" s="319" t="s">
        <v>55</v>
      </c>
      <c r="S232" s="111"/>
      <c r="T232" s="281"/>
      <c r="U232" s="280">
        <f t="shared" si="10"/>
        <v>0</v>
      </c>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c r="GV232" s="28"/>
      <c r="GW232" s="28"/>
      <c r="GX232" s="28"/>
      <c r="GY232" s="28"/>
      <c r="GZ232" s="28"/>
      <c r="HA232" s="28"/>
      <c r="HB232" s="28"/>
      <c r="HC232" s="28"/>
      <c r="HD232" s="28"/>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row>
    <row r="233" s="230" customFormat="1" ht="43.2" spans="1:248">
      <c r="A233" s="249" t="s">
        <v>1004</v>
      </c>
      <c r="B233" s="58" t="s">
        <v>1005</v>
      </c>
      <c r="C233" s="58" t="s">
        <v>26</v>
      </c>
      <c r="D233" s="252" t="s">
        <v>58</v>
      </c>
      <c r="E233" s="71" t="s">
        <v>1006</v>
      </c>
      <c r="F233" s="250">
        <v>109</v>
      </c>
      <c r="G233" s="58" t="s">
        <v>476</v>
      </c>
      <c r="H233" s="58" t="s">
        <v>53</v>
      </c>
      <c r="I233" s="58" t="s">
        <v>1007</v>
      </c>
      <c r="J233" s="89">
        <v>109</v>
      </c>
      <c r="K233" s="89">
        <v>0</v>
      </c>
      <c r="L233" s="250">
        <f t="shared" si="11"/>
        <v>30</v>
      </c>
      <c r="M233" s="89">
        <v>30</v>
      </c>
      <c r="N233" s="89">
        <v>0</v>
      </c>
      <c r="O233" s="60">
        <v>30</v>
      </c>
      <c r="P233" s="60">
        <v>0</v>
      </c>
      <c r="Q233" s="278"/>
      <c r="R233" s="111" t="s">
        <v>944</v>
      </c>
      <c r="S233" s="111"/>
      <c r="T233" s="281"/>
      <c r="U233" s="280">
        <f t="shared" si="10"/>
        <v>0</v>
      </c>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c r="GV233" s="28"/>
      <c r="GW233" s="28"/>
      <c r="GX233" s="28"/>
      <c r="GY233" s="28"/>
      <c r="GZ233" s="28"/>
      <c r="HA233" s="28"/>
      <c r="HB233" s="28"/>
      <c r="HC233" s="28"/>
      <c r="HD233" s="28"/>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row>
    <row r="234" s="230" customFormat="1" ht="43.2" spans="1:248">
      <c r="A234" s="249" t="s">
        <v>1008</v>
      </c>
      <c r="B234" s="73" t="s">
        <v>1009</v>
      </c>
      <c r="C234" s="73" t="s">
        <v>26</v>
      </c>
      <c r="D234" s="252" t="s">
        <v>58</v>
      </c>
      <c r="E234" s="75" t="s">
        <v>1010</v>
      </c>
      <c r="F234" s="250">
        <v>468.22</v>
      </c>
      <c r="G234" s="73" t="s">
        <v>147</v>
      </c>
      <c r="H234" s="73" t="s">
        <v>53</v>
      </c>
      <c r="I234" s="73" t="s">
        <v>1011</v>
      </c>
      <c r="J234" s="109">
        <v>468.22</v>
      </c>
      <c r="K234" s="109">
        <v>0</v>
      </c>
      <c r="L234" s="250">
        <f t="shared" si="11"/>
        <v>16</v>
      </c>
      <c r="M234" s="109">
        <v>16</v>
      </c>
      <c r="N234" s="109">
        <v>0</v>
      </c>
      <c r="O234" s="60">
        <v>16</v>
      </c>
      <c r="P234" s="60">
        <v>0</v>
      </c>
      <c r="Q234" s="278"/>
      <c r="R234" s="111" t="s">
        <v>944</v>
      </c>
      <c r="S234" s="111"/>
      <c r="T234" s="281"/>
      <c r="U234" s="280">
        <f t="shared" si="10"/>
        <v>0</v>
      </c>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row>
    <row r="235" s="230" customFormat="1" ht="43.2" spans="1:248">
      <c r="A235" s="249" t="s">
        <v>1012</v>
      </c>
      <c r="B235" s="58" t="s">
        <v>1013</v>
      </c>
      <c r="C235" s="57" t="s">
        <v>26</v>
      </c>
      <c r="D235" s="57" t="s">
        <v>145</v>
      </c>
      <c r="E235" s="171" t="s">
        <v>1014</v>
      </c>
      <c r="F235" s="250">
        <v>298.05</v>
      </c>
      <c r="G235" s="57">
        <v>2020</v>
      </c>
      <c r="H235" s="57" t="s">
        <v>53</v>
      </c>
      <c r="I235" s="57" t="s">
        <v>1015</v>
      </c>
      <c r="J235" s="185">
        <v>298.05</v>
      </c>
      <c r="K235" s="185">
        <v>0</v>
      </c>
      <c r="L235" s="250">
        <f t="shared" si="11"/>
        <v>8</v>
      </c>
      <c r="M235" s="185">
        <v>8</v>
      </c>
      <c r="N235" s="174">
        <v>0</v>
      </c>
      <c r="O235" s="60">
        <v>7.5</v>
      </c>
      <c r="P235" s="60">
        <v>0.5</v>
      </c>
      <c r="Q235" s="276"/>
      <c r="R235" s="277" t="s">
        <v>95</v>
      </c>
      <c r="S235" s="111"/>
      <c r="T235" s="281"/>
      <c r="U235" s="280">
        <f t="shared" si="10"/>
        <v>0</v>
      </c>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row>
    <row r="236" s="230" customFormat="1" ht="43.2" spans="1:248">
      <c r="A236" s="249" t="s">
        <v>1016</v>
      </c>
      <c r="B236" s="58" t="s">
        <v>1017</v>
      </c>
      <c r="C236" s="58" t="s">
        <v>26</v>
      </c>
      <c r="D236" s="58" t="s">
        <v>209</v>
      </c>
      <c r="E236" s="71" t="s">
        <v>1018</v>
      </c>
      <c r="F236" s="250">
        <v>168.53</v>
      </c>
      <c r="G236" s="292">
        <v>2018</v>
      </c>
      <c r="H236" s="212" t="s">
        <v>53</v>
      </c>
      <c r="I236" s="212" t="s">
        <v>1019</v>
      </c>
      <c r="J236" s="89">
        <v>168.53</v>
      </c>
      <c r="K236" s="89">
        <v>0</v>
      </c>
      <c r="L236" s="250">
        <f t="shared" si="11"/>
        <v>4.07</v>
      </c>
      <c r="M236" s="89">
        <v>4.07</v>
      </c>
      <c r="N236" s="89">
        <v>0</v>
      </c>
      <c r="O236" s="60">
        <v>0</v>
      </c>
      <c r="P236" s="60">
        <v>4.07</v>
      </c>
      <c r="Q236" s="288"/>
      <c r="R236" s="289" t="s">
        <v>107</v>
      </c>
      <c r="S236" s="111"/>
      <c r="T236" s="281"/>
      <c r="U236" s="280">
        <f t="shared" si="10"/>
        <v>0</v>
      </c>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c r="IC236" s="28"/>
      <c r="ID236" s="28"/>
      <c r="IE236" s="28"/>
      <c r="IF236" s="28"/>
      <c r="IG236" s="28"/>
      <c r="IH236" s="28"/>
      <c r="II236" s="28"/>
      <c r="IJ236" s="28"/>
      <c r="IK236" s="28"/>
      <c r="IL236" s="28"/>
      <c r="IM236" s="28"/>
      <c r="IN236" s="28"/>
    </row>
    <row r="237" s="230" customFormat="1" ht="28.8" spans="1:248">
      <c r="A237" s="249" t="s">
        <v>1020</v>
      </c>
      <c r="B237" s="301" t="s">
        <v>1021</v>
      </c>
      <c r="C237" s="311" t="s">
        <v>26</v>
      </c>
      <c r="D237" s="252" t="s">
        <v>58</v>
      </c>
      <c r="E237" s="299" t="s">
        <v>1022</v>
      </c>
      <c r="F237" s="250">
        <v>1616.8</v>
      </c>
      <c r="G237" s="301" t="s">
        <v>1023</v>
      </c>
      <c r="H237" s="311" t="s">
        <v>53</v>
      </c>
      <c r="I237" s="311" t="s">
        <v>1024</v>
      </c>
      <c r="J237" s="250">
        <v>1616.8</v>
      </c>
      <c r="K237" s="314">
        <v>0</v>
      </c>
      <c r="L237" s="250">
        <f t="shared" si="11"/>
        <v>3</v>
      </c>
      <c r="M237" s="314">
        <v>3</v>
      </c>
      <c r="N237" s="314">
        <v>0</v>
      </c>
      <c r="O237" s="60">
        <v>3</v>
      </c>
      <c r="P237" s="60">
        <v>0</v>
      </c>
      <c r="Q237" s="324"/>
      <c r="R237" s="325" t="s">
        <v>55</v>
      </c>
      <c r="S237" s="111"/>
      <c r="T237" s="281"/>
      <c r="U237" s="280">
        <f t="shared" si="10"/>
        <v>0</v>
      </c>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c r="IC237" s="28"/>
      <c r="ID237" s="28"/>
      <c r="IE237" s="28"/>
      <c r="IF237" s="28"/>
      <c r="IG237" s="28"/>
      <c r="IH237" s="28"/>
      <c r="II237" s="28"/>
      <c r="IJ237" s="28"/>
      <c r="IK237" s="28"/>
      <c r="IL237" s="28"/>
      <c r="IM237" s="28"/>
      <c r="IN237" s="28"/>
    </row>
    <row r="238" s="230" customFormat="1" ht="43.2" spans="1:248">
      <c r="A238" s="249" t="s">
        <v>1025</v>
      </c>
      <c r="B238" s="301" t="s">
        <v>1026</v>
      </c>
      <c r="C238" s="311" t="s">
        <v>26</v>
      </c>
      <c r="D238" s="252" t="s">
        <v>58</v>
      </c>
      <c r="E238" s="299" t="s">
        <v>1027</v>
      </c>
      <c r="F238" s="250">
        <v>5340.1</v>
      </c>
      <c r="G238" s="301" t="s">
        <v>476</v>
      </c>
      <c r="H238" s="311" t="s">
        <v>53</v>
      </c>
      <c r="I238" s="311" t="s">
        <v>1028</v>
      </c>
      <c r="J238" s="250">
        <v>5340.1</v>
      </c>
      <c r="K238" s="314">
        <v>0</v>
      </c>
      <c r="L238" s="250">
        <f t="shared" si="11"/>
        <v>3</v>
      </c>
      <c r="M238" s="314">
        <v>3</v>
      </c>
      <c r="N238" s="314">
        <v>0</v>
      </c>
      <c r="O238" s="60">
        <v>3</v>
      </c>
      <c r="P238" s="60">
        <v>0</v>
      </c>
      <c r="Q238" s="324"/>
      <c r="R238" s="325" t="s">
        <v>55</v>
      </c>
      <c r="S238" s="111"/>
      <c r="T238" s="281"/>
      <c r="U238" s="280">
        <f t="shared" si="10"/>
        <v>0</v>
      </c>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c r="GV238" s="28"/>
      <c r="GW238" s="28"/>
      <c r="GX238" s="28"/>
      <c r="GY238" s="28"/>
      <c r="GZ238" s="28"/>
      <c r="HA238" s="28"/>
      <c r="HB238" s="28"/>
      <c r="HC238" s="28"/>
      <c r="HD238" s="28"/>
      <c r="HE238" s="28"/>
      <c r="HF238" s="28"/>
      <c r="HG238" s="28"/>
      <c r="HH238" s="28"/>
      <c r="HI238" s="28"/>
      <c r="HJ238" s="28"/>
      <c r="HK238" s="28"/>
      <c r="HL238" s="28"/>
      <c r="HM238" s="28"/>
      <c r="HN238" s="28"/>
      <c r="HO238" s="28"/>
      <c r="HP238" s="28"/>
      <c r="HQ238" s="28"/>
      <c r="HR238" s="28"/>
      <c r="HS238" s="28"/>
      <c r="HT238" s="28"/>
      <c r="HU238" s="28"/>
      <c r="HV238" s="28"/>
      <c r="HW238" s="28"/>
      <c r="HX238" s="28"/>
      <c r="HY238" s="28"/>
      <c r="HZ238" s="28"/>
      <c r="IA238" s="28"/>
      <c r="IB238" s="28"/>
      <c r="IC238" s="28"/>
      <c r="ID238" s="28"/>
      <c r="IE238" s="28"/>
      <c r="IF238" s="28"/>
      <c r="IG238" s="28"/>
      <c r="IH238" s="28"/>
      <c r="II238" s="28"/>
      <c r="IJ238" s="28"/>
      <c r="IK238" s="28"/>
      <c r="IL238" s="28"/>
      <c r="IM238" s="28"/>
      <c r="IN238" s="28"/>
    </row>
    <row r="239" s="230" customFormat="1" ht="93" customHeight="1" spans="1:248">
      <c r="A239" s="249" t="s">
        <v>1029</v>
      </c>
      <c r="B239" s="62" t="s">
        <v>1030</v>
      </c>
      <c r="C239" s="62" t="s">
        <v>27</v>
      </c>
      <c r="D239" s="62" t="s">
        <v>145</v>
      </c>
      <c r="E239" s="63" t="s">
        <v>1031</v>
      </c>
      <c r="F239" s="250">
        <v>67000</v>
      </c>
      <c r="G239" s="62" t="s">
        <v>136</v>
      </c>
      <c r="H239" s="62" t="s">
        <v>53</v>
      </c>
      <c r="I239" s="62" t="s">
        <v>1032</v>
      </c>
      <c r="J239" s="89">
        <v>67000</v>
      </c>
      <c r="K239" s="89">
        <v>0</v>
      </c>
      <c r="L239" s="250">
        <f t="shared" ref="L239:L270" si="12">M239+N239</f>
        <v>10803</v>
      </c>
      <c r="M239" s="89">
        <v>10803</v>
      </c>
      <c r="N239" s="89">
        <v>0</v>
      </c>
      <c r="O239" s="315">
        <v>151.5</v>
      </c>
      <c r="P239" s="315">
        <v>10651.5</v>
      </c>
      <c r="Q239" s="326"/>
      <c r="R239" s="327" t="s">
        <v>107</v>
      </c>
      <c r="S239" s="111"/>
      <c r="T239" s="281"/>
      <c r="U239" s="280">
        <f t="shared" si="10"/>
        <v>0</v>
      </c>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row>
    <row r="240" s="230" customFormat="1" ht="57.6" spans="1:248">
      <c r="A240" s="249" t="s">
        <v>1033</v>
      </c>
      <c r="B240" s="62" t="s">
        <v>1034</v>
      </c>
      <c r="C240" s="62" t="s">
        <v>27</v>
      </c>
      <c r="D240" s="62" t="s">
        <v>145</v>
      </c>
      <c r="E240" s="63" t="s">
        <v>1035</v>
      </c>
      <c r="F240" s="250">
        <v>4318.95</v>
      </c>
      <c r="G240" s="62" t="s">
        <v>147</v>
      </c>
      <c r="H240" s="62" t="s">
        <v>53</v>
      </c>
      <c r="I240" s="62" t="s">
        <v>1036</v>
      </c>
      <c r="J240" s="89">
        <v>4318.95</v>
      </c>
      <c r="K240" s="89">
        <v>0</v>
      </c>
      <c r="L240" s="250">
        <f t="shared" si="12"/>
        <v>1707.52</v>
      </c>
      <c r="M240" s="89">
        <v>1707.52</v>
      </c>
      <c r="N240" s="89">
        <v>0</v>
      </c>
      <c r="O240" s="315">
        <v>629</v>
      </c>
      <c r="P240" s="315">
        <v>1078.52</v>
      </c>
      <c r="Q240" s="326"/>
      <c r="R240" s="327" t="s">
        <v>62</v>
      </c>
      <c r="S240" s="111"/>
      <c r="T240" s="281"/>
      <c r="U240" s="280">
        <f t="shared" si="10"/>
        <v>0</v>
      </c>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row>
    <row r="241" s="230" customFormat="1" ht="43.2" spans="1:248">
      <c r="A241" s="249" t="s">
        <v>1037</v>
      </c>
      <c r="B241" s="62" t="s">
        <v>1038</v>
      </c>
      <c r="C241" s="62" t="s">
        <v>27</v>
      </c>
      <c r="D241" s="62" t="s">
        <v>304</v>
      </c>
      <c r="E241" s="63" t="s">
        <v>1039</v>
      </c>
      <c r="F241" s="250">
        <v>6490.18</v>
      </c>
      <c r="G241" s="62" t="s">
        <v>112</v>
      </c>
      <c r="H241" s="62" t="s">
        <v>53</v>
      </c>
      <c r="I241" s="62" t="s">
        <v>1040</v>
      </c>
      <c r="J241" s="89">
        <v>6490.18</v>
      </c>
      <c r="K241" s="89">
        <v>0</v>
      </c>
      <c r="L241" s="250">
        <f t="shared" si="12"/>
        <v>950</v>
      </c>
      <c r="M241" s="89">
        <v>950</v>
      </c>
      <c r="N241" s="89">
        <v>0</v>
      </c>
      <c r="O241" s="315">
        <v>950</v>
      </c>
      <c r="P241" s="315">
        <v>0</v>
      </c>
      <c r="Q241" s="326"/>
      <c r="R241" s="327" t="s">
        <v>378</v>
      </c>
      <c r="S241" s="111"/>
      <c r="T241" s="281"/>
      <c r="U241" s="280">
        <f t="shared" si="10"/>
        <v>0</v>
      </c>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c r="IC241" s="28"/>
      <c r="ID241" s="28"/>
      <c r="IE241" s="28"/>
      <c r="IF241" s="28"/>
      <c r="IG241" s="28"/>
      <c r="IH241" s="28"/>
      <c r="II241" s="28"/>
      <c r="IJ241" s="28"/>
      <c r="IK241" s="28"/>
      <c r="IL241" s="28"/>
      <c r="IM241" s="28"/>
      <c r="IN241" s="28"/>
    </row>
    <row r="242" s="230" customFormat="1" ht="72" spans="1:248">
      <c r="A242" s="249" t="s">
        <v>1041</v>
      </c>
      <c r="B242" s="62" t="s">
        <v>1042</v>
      </c>
      <c r="C242" s="62" t="s">
        <v>27</v>
      </c>
      <c r="D242" s="62" t="s">
        <v>140</v>
      </c>
      <c r="E242" s="63" t="s">
        <v>1043</v>
      </c>
      <c r="F242" s="250">
        <v>2477.37</v>
      </c>
      <c r="G242" s="62" t="s">
        <v>156</v>
      </c>
      <c r="H242" s="62" t="s">
        <v>53</v>
      </c>
      <c r="I242" s="62" t="s">
        <v>1044</v>
      </c>
      <c r="J242" s="89">
        <v>2477.37</v>
      </c>
      <c r="K242" s="89">
        <v>0</v>
      </c>
      <c r="L242" s="250">
        <f t="shared" si="12"/>
        <v>900.13</v>
      </c>
      <c r="M242" s="89">
        <v>542.3</v>
      </c>
      <c r="N242" s="89">
        <v>357.83</v>
      </c>
      <c r="O242" s="315">
        <v>22.5</v>
      </c>
      <c r="P242" s="315">
        <v>877.63</v>
      </c>
      <c r="Q242" s="326"/>
      <c r="R242" s="327" t="s">
        <v>378</v>
      </c>
      <c r="S242" s="111"/>
      <c r="T242" s="281"/>
      <c r="U242" s="280">
        <f t="shared" si="10"/>
        <v>0</v>
      </c>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8"/>
      <c r="GR242" s="28"/>
      <c r="GS242" s="28"/>
      <c r="GT242" s="28"/>
      <c r="GU242" s="28"/>
      <c r="GV242" s="28"/>
      <c r="GW242" s="28"/>
      <c r="GX242" s="28"/>
      <c r="GY242" s="28"/>
      <c r="GZ242" s="28"/>
      <c r="HA242" s="28"/>
      <c r="HB242" s="28"/>
      <c r="HC242" s="28"/>
      <c r="HD242" s="28"/>
      <c r="HE242" s="28"/>
      <c r="HF242" s="28"/>
      <c r="HG242" s="28"/>
      <c r="HH242" s="28"/>
      <c r="HI242" s="28"/>
      <c r="HJ242" s="28"/>
      <c r="HK242" s="28"/>
      <c r="HL242" s="28"/>
      <c r="HM242" s="28"/>
      <c r="HN242" s="28"/>
      <c r="HO242" s="28"/>
      <c r="HP242" s="28"/>
      <c r="HQ242" s="28"/>
      <c r="HR242" s="28"/>
      <c r="HS242" s="28"/>
      <c r="HT242" s="28"/>
      <c r="HU242" s="28"/>
      <c r="HV242" s="28"/>
      <c r="HW242" s="28"/>
      <c r="HX242" s="28"/>
      <c r="HY242" s="28"/>
      <c r="HZ242" s="28"/>
      <c r="IA242" s="28"/>
      <c r="IB242" s="28"/>
      <c r="IC242" s="28"/>
      <c r="ID242" s="28"/>
      <c r="IE242" s="28"/>
      <c r="IF242" s="28"/>
      <c r="IG242" s="28"/>
      <c r="IH242" s="28"/>
      <c r="II242" s="28"/>
      <c r="IJ242" s="28"/>
      <c r="IK242" s="28"/>
      <c r="IL242" s="28"/>
      <c r="IM242" s="28"/>
      <c r="IN242" s="28"/>
    </row>
    <row r="243" s="230" customFormat="1" ht="28.8" spans="1:248">
      <c r="A243" s="249" t="s">
        <v>1045</v>
      </c>
      <c r="B243" s="62" t="s">
        <v>1046</v>
      </c>
      <c r="C243" s="62" t="s">
        <v>27</v>
      </c>
      <c r="D243" s="62" t="s">
        <v>304</v>
      </c>
      <c r="E243" s="63" t="s">
        <v>1047</v>
      </c>
      <c r="F243" s="250">
        <v>5628.11</v>
      </c>
      <c r="G243" s="62" t="s">
        <v>112</v>
      </c>
      <c r="H243" s="62" t="s">
        <v>53</v>
      </c>
      <c r="I243" s="62" t="s">
        <v>1048</v>
      </c>
      <c r="J243" s="89">
        <v>5628.11</v>
      </c>
      <c r="K243" s="89">
        <v>0</v>
      </c>
      <c r="L243" s="250">
        <f t="shared" si="12"/>
        <v>900</v>
      </c>
      <c r="M243" s="89">
        <v>900</v>
      </c>
      <c r="N243" s="89">
        <v>0</v>
      </c>
      <c r="O243" s="315">
        <v>900</v>
      </c>
      <c r="P243" s="315">
        <v>0</v>
      </c>
      <c r="Q243" s="326"/>
      <c r="R243" s="327" t="s">
        <v>107</v>
      </c>
      <c r="S243" s="111"/>
      <c r="T243" s="281"/>
      <c r="U243" s="280">
        <f t="shared" si="10"/>
        <v>0</v>
      </c>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row>
    <row r="244" s="230" customFormat="1" ht="28.8" spans="1:248">
      <c r="A244" s="249" t="s">
        <v>1049</v>
      </c>
      <c r="B244" s="62" t="s">
        <v>1050</v>
      </c>
      <c r="C244" s="62" t="s">
        <v>27</v>
      </c>
      <c r="D244" s="62" t="s">
        <v>145</v>
      </c>
      <c r="E244" s="63" t="s">
        <v>1051</v>
      </c>
      <c r="F244" s="250">
        <v>4318.95</v>
      </c>
      <c r="G244" s="62" t="s">
        <v>147</v>
      </c>
      <c r="H244" s="62" t="s">
        <v>53</v>
      </c>
      <c r="I244" s="62" t="s">
        <v>1052</v>
      </c>
      <c r="J244" s="89">
        <v>4318.95</v>
      </c>
      <c r="K244" s="89">
        <v>0</v>
      </c>
      <c r="L244" s="250">
        <f t="shared" si="12"/>
        <v>567.5</v>
      </c>
      <c r="M244" s="89">
        <v>567.5</v>
      </c>
      <c r="N244" s="89">
        <v>0</v>
      </c>
      <c r="O244" s="315">
        <v>0</v>
      </c>
      <c r="P244" s="315">
        <v>567.5</v>
      </c>
      <c r="Q244" s="326"/>
      <c r="R244" s="327" t="s">
        <v>62</v>
      </c>
      <c r="S244" s="111"/>
      <c r="T244" s="281"/>
      <c r="U244" s="280">
        <f t="shared" si="10"/>
        <v>0</v>
      </c>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8"/>
      <c r="GR244" s="28"/>
      <c r="GS244" s="28"/>
      <c r="GT244" s="28"/>
      <c r="GU244" s="28"/>
      <c r="GV244" s="28"/>
      <c r="GW244" s="28"/>
      <c r="GX244" s="28"/>
      <c r="GY244" s="28"/>
      <c r="GZ244" s="28"/>
      <c r="HA244" s="28"/>
      <c r="HB244" s="28"/>
      <c r="HC244" s="28"/>
      <c r="HD244" s="28"/>
      <c r="HE244" s="28"/>
      <c r="HF244" s="28"/>
      <c r="HG244" s="28"/>
      <c r="HH244" s="28"/>
      <c r="HI244" s="28"/>
      <c r="HJ244" s="28"/>
      <c r="HK244" s="28"/>
      <c r="HL244" s="28"/>
      <c r="HM244" s="28"/>
      <c r="HN244" s="28"/>
      <c r="HO244" s="28"/>
      <c r="HP244" s="28"/>
      <c r="HQ244" s="28"/>
      <c r="HR244" s="28"/>
      <c r="HS244" s="28"/>
      <c r="HT244" s="28"/>
      <c r="HU244" s="28"/>
      <c r="HV244" s="28"/>
      <c r="HW244" s="28"/>
      <c r="HX244" s="28"/>
      <c r="HY244" s="28"/>
      <c r="HZ244" s="28"/>
      <c r="IA244" s="28"/>
      <c r="IB244" s="28"/>
      <c r="IC244" s="28"/>
      <c r="ID244" s="28"/>
      <c r="IE244" s="28"/>
      <c r="IF244" s="28"/>
      <c r="IG244" s="28"/>
      <c r="IH244" s="28"/>
      <c r="II244" s="28"/>
      <c r="IJ244" s="28"/>
      <c r="IK244" s="28"/>
      <c r="IL244" s="28"/>
      <c r="IM244" s="28"/>
      <c r="IN244" s="28"/>
    </row>
    <row r="245" s="230" customFormat="1" ht="43.2" spans="1:248">
      <c r="A245" s="249" t="s">
        <v>1053</v>
      </c>
      <c r="B245" s="62" t="s">
        <v>1054</v>
      </c>
      <c r="C245" s="62" t="s">
        <v>27</v>
      </c>
      <c r="D245" s="62" t="s">
        <v>140</v>
      </c>
      <c r="E245" s="63" t="s">
        <v>1055</v>
      </c>
      <c r="F245" s="250">
        <v>3391.19</v>
      </c>
      <c r="G245" s="62" t="s">
        <v>93</v>
      </c>
      <c r="H245" s="62" t="s">
        <v>53</v>
      </c>
      <c r="I245" s="62" t="s">
        <v>1056</v>
      </c>
      <c r="J245" s="89">
        <v>3295.19</v>
      </c>
      <c r="K245" s="89">
        <v>0</v>
      </c>
      <c r="L245" s="250">
        <f t="shared" si="12"/>
        <v>549.65</v>
      </c>
      <c r="M245" s="89">
        <v>0</v>
      </c>
      <c r="N245" s="89">
        <v>549.65</v>
      </c>
      <c r="O245" s="315">
        <v>16.5</v>
      </c>
      <c r="P245" s="315">
        <v>533.15</v>
      </c>
      <c r="Q245" s="326"/>
      <c r="R245" s="327" t="s">
        <v>378</v>
      </c>
      <c r="S245" s="111"/>
      <c r="T245" s="281"/>
      <c r="U245" s="280">
        <f t="shared" si="10"/>
        <v>0</v>
      </c>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c r="GG245" s="28"/>
      <c r="GH245" s="28"/>
      <c r="GI245" s="28"/>
      <c r="GJ245" s="28"/>
      <c r="GK245" s="28"/>
      <c r="GL245" s="28"/>
      <c r="GM245" s="28"/>
      <c r="GN245" s="28"/>
      <c r="GO245" s="28"/>
      <c r="GP245" s="28"/>
      <c r="GQ245" s="28"/>
      <c r="GR245" s="28"/>
      <c r="GS245" s="28"/>
      <c r="GT245" s="28"/>
      <c r="GU245" s="28"/>
      <c r="GV245" s="28"/>
      <c r="GW245" s="28"/>
      <c r="GX245" s="28"/>
      <c r="GY245" s="28"/>
      <c r="GZ245" s="28"/>
      <c r="HA245" s="28"/>
      <c r="HB245" s="28"/>
      <c r="HC245" s="28"/>
      <c r="HD245" s="28"/>
      <c r="HE245" s="28"/>
      <c r="HF245" s="28"/>
      <c r="HG245" s="28"/>
      <c r="HH245" s="28"/>
      <c r="HI245" s="28"/>
      <c r="HJ245" s="28"/>
      <c r="HK245" s="28"/>
      <c r="HL245" s="28"/>
      <c r="HM245" s="28"/>
      <c r="HN245" s="28"/>
      <c r="HO245" s="28"/>
      <c r="HP245" s="28"/>
      <c r="HQ245" s="28"/>
      <c r="HR245" s="28"/>
      <c r="HS245" s="28"/>
      <c r="HT245" s="28"/>
      <c r="HU245" s="28"/>
      <c r="HV245" s="28"/>
      <c r="HW245" s="28"/>
      <c r="HX245" s="28"/>
      <c r="HY245" s="28"/>
      <c r="HZ245" s="28"/>
      <c r="IA245" s="28"/>
      <c r="IB245" s="28"/>
      <c r="IC245" s="28"/>
      <c r="ID245" s="28"/>
      <c r="IE245" s="28"/>
      <c r="IF245" s="28"/>
      <c r="IG245" s="28"/>
      <c r="IH245" s="28"/>
      <c r="II245" s="28"/>
      <c r="IJ245" s="28"/>
      <c r="IK245" s="28"/>
      <c r="IL245" s="28"/>
      <c r="IM245" s="28"/>
      <c r="IN245" s="28"/>
    </row>
    <row r="246" s="230" customFormat="1" ht="144" spans="1:248">
      <c r="A246" s="249" t="s">
        <v>1057</v>
      </c>
      <c r="B246" s="62" t="s">
        <v>1058</v>
      </c>
      <c r="C246" s="62" t="s">
        <v>27</v>
      </c>
      <c r="D246" s="62" t="s">
        <v>140</v>
      </c>
      <c r="E246" s="63" t="s">
        <v>1059</v>
      </c>
      <c r="F246" s="250">
        <v>3127</v>
      </c>
      <c r="G246" s="62" t="s">
        <v>156</v>
      </c>
      <c r="H246" s="62" t="s">
        <v>53</v>
      </c>
      <c r="I246" s="62" t="s">
        <v>1060</v>
      </c>
      <c r="J246" s="89">
        <v>3127</v>
      </c>
      <c r="K246" s="89">
        <v>0</v>
      </c>
      <c r="L246" s="250">
        <f t="shared" si="12"/>
        <v>502.67</v>
      </c>
      <c r="M246" s="89">
        <v>0</v>
      </c>
      <c r="N246" s="89">
        <v>502.67</v>
      </c>
      <c r="O246" s="315">
        <v>26.5</v>
      </c>
      <c r="P246" s="315">
        <v>476.17</v>
      </c>
      <c r="Q246" s="326"/>
      <c r="R246" s="327" t="s">
        <v>378</v>
      </c>
      <c r="S246" s="111"/>
      <c r="T246" s="281"/>
      <c r="U246" s="280">
        <f t="shared" si="10"/>
        <v>0</v>
      </c>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8"/>
      <c r="GR246" s="28"/>
      <c r="GS246" s="28"/>
      <c r="GT246" s="28"/>
      <c r="GU246" s="28"/>
      <c r="GV246" s="28"/>
      <c r="GW246" s="28"/>
      <c r="GX246" s="28"/>
      <c r="GY246" s="28"/>
      <c r="GZ246" s="28"/>
      <c r="HA246" s="28"/>
      <c r="HB246" s="28"/>
      <c r="HC246" s="28"/>
      <c r="HD246" s="28"/>
      <c r="HE246" s="28"/>
      <c r="HF246" s="28"/>
      <c r="HG246" s="28"/>
      <c r="HH246" s="28"/>
      <c r="HI246" s="28"/>
      <c r="HJ246" s="28"/>
      <c r="HK246" s="28"/>
      <c r="HL246" s="28"/>
      <c r="HM246" s="28"/>
      <c r="HN246" s="28"/>
      <c r="HO246" s="28"/>
      <c r="HP246" s="28"/>
      <c r="HQ246" s="28"/>
      <c r="HR246" s="28"/>
      <c r="HS246" s="28"/>
      <c r="HT246" s="28"/>
      <c r="HU246" s="28"/>
      <c r="HV246" s="28"/>
      <c r="HW246" s="28"/>
      <c r="HX246" s="28"/>
      <c r="HY246" s="28"/>
      <c r="HZ246" s="28"/>
      <c r="IA246" s="28"/>
      <c r="IB246" s="28"/>
      <c r="IC246" s="28"/>
      <c r="ID246" s="28"/>
      <c r="IE246" s="28"/>
      <c r="IF246" s="28"/>
      <c r="IG246" s="28"/>
      <c r="IH246" s="28"/>
      <c r="II246" s="28"/>
      <c r="IJ246" s="28"/>
      <c r="IK246" s="28"/>
      <c r="IL246" s="28"/>
      <c r="IM246" s="28"/>
      <c r="IN246" s="28"/>
    </row>
    <row r="247" s="230" customFormat="1" ht="28.8" spans="1:248">
      <c r="A247" s="249" t="s">
        <v>1061</v>
      </c>
      <c r="B247" s="62" t="s">
        <v>1062</v>
      </c>
      <c r="C247" s="62" t="s">
        <v>27</v>
      </c>
      <c r="D247" s="62" t="s">
        <v>145</v>
      </c>
      <c r="E247" s="63" t="s">
        <v>1063</v>
      </c>
      <c r="F247" s="250">
        <v>2442.78</v>
      </c>
      <c r="G247" s="62" t="s">
        <v>147</v>
      </c>
      <c r="H247" s="62" t="s">
        <v>53</v>
      </c>
      <c r="I247" s="62" t="s">
        <v>1064</v>
      </c>
      <c r="J247" s="89">
        <v>2442.78</v>
      </c>
      <c r="K247" s="89">
        <v>0</v>
      </c>
      <c r="L247" s="250">
        <f t="shared" si="12"/>
        <v>419.52</v>
      </c>
      <c r="M247" s="89">
        <v>419.52</v>
      </c>
      <c r="N247" s="89">
        <v>0</v>
      </c>
      <c r="O247" s="315">
        <v>282</v>
      </c>
      <c r="P247" s="315">
        <v>137.52</v>
      </c>
      <c r="Q247" s="326"/>
      <c r="R247" s="327" t="s">
        <v>62</v>
      </c>
      <c r="S247" s="111"/>
      <c r="T247" s="281"/>
      <c r="U247" s="280">
        <f t="shared" si="10"/>
        <v>0</v>
      </c>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8"/>
      <c r="GR247" s="28"/>
      <c r="GS247" s="28"/>
      <c r="GT247" s="28"/>
      <c r="GU247" s="28"/>
      <c r="GV247" s="28"/>
      <c r="GW247" s="28"/>
      <c r="GX247" s="28"/>
      <c r="GY247" s="28"/>
      <c r="GZ247" s="28"/>
      <c r="HA247" s="28"/>
      <c r="HB247" s="28"/>
      <c r="HC247" s="28"/>
      <c r="HD247" s="28"/>
      <c r="HE247" s="28"/>
      <c r="HF247" s="28"/>
      <c r="HG247" s="28"/>
      <c r="HH247" s="28"/>
      <c r="HI247" s="28"/>
      <c r="HJ247" s="28"/>
      <c r="HK247" s="28"/>
      <c r="HL247" s="28"/>
      <c r="HM247" s="28"/>
      <c r="HN247" s="28"/>
      <c r="HO247" s="28"/>
      <c r="HP247" s="28"/>
      <c r="HQ247" s="28"/>
      <c r="HR247" s="28"/>
      <c r="HS247" s="28"/>
      <c r="HT247" s="28"/>
      <c r="HU247" s="28"/>
      <c r="HV247" s="28"/>
      <c r="HW247" s="28"/>
      <c r="HX247" s="28"/>
      <c r="HY247" s="28"/>
      <c r="HZ247" s="28"/>
      <c r="IA247" s="28"/>
      <c r="IB247" s="28"/>
      <c r="IC247" s="28"/>
      <c r="ID247" s="28"/>
      <c r="IE247" s="28"/>
      <c r="IF247" s="28"/>
      <c r="IG247" s="28"/>
      <c r="IH247" s="28"/>
      <c r="II247" s="28"/>
      <c r="IJ247" s="28"/>
      <c r="IK247" s="28"/>
      <c r="IL247" s="28"/>
      <c r="IM247" s="28"/>
      <c r="IN247" s="28"/>
    </row>
    <row r="248" s="230" customFormat="1" ht="43.2" spans="1:248">
      <c r="A248" s="249" t="s">
        <v>1065</v>
      </c>
      <c r="B248" s="62" t="s">
        <v>1066</v>
      </c>
      <c r="C248" s="62" t="s">
        <v>27</v>
      </c>
      <c r="D248" s="62" t="s">
        <v>145</v>
      </c>
      <c r="E248" s="63" t="s">
        <v>1067</v>
      </c>
      <c r="F248" s="250">
        <v>3990.35</v>
      </c>
      <c r="G248" s="62" t="s">
        <v>147</v>
      </c>
      <c r="H248" s="62" t="s">
        <v>53</v>
      </c>
      <c r="I248" s="62" t="s">
        <v>1068</v>
      </c>
      <c r="J248" s="89">
        <v>3990.35</v>
      </c>
      <c r="K248" s="89">
        <v>0</v>
      </c>
      <c r="L248" s="250">
        <f t="shared" si="12"/>
        <v>418.5</v>
      </c>
      <c r="M248" s="89">
        <v>418.5</v>
      </c>
      <c r="N248" s="89">
        <v>0</v>
      </c>
      <c r="O248" s="315">
        <v>0</v>
      </c>
      <c r="P248" s="315">
        <v>418.5</v>
      </c>
      <c r="Q248" s="326"/>
      <c r="R248" s="327" t="s">
        <v>62</v>
      </c>
      <c r="S248" s="111"/>
      <c r="T248" s="281"/>
      <c r="U248" s="280">
        <f t="shared" si="10"/>
        <v>0</v>
      </c>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row>
    <row r="249" s="230" customFormat="1" ht="28.8" spans="1:248">
      <c r="A249" s="249" t="s">
        <v>1069</v>
      </c>
      <c r="B249" s="73" t="s">
        <v>1070</v>
      </c>
      <c r="C249" s="73" t="s">
        <v>27</v>
      </c>
      <c r="D249" s="252" t="s">
        <v>58</v>
      </c>
      <c r="E249" s="75" t="s">
        <v>1071</v>
      </c>
      <c r="F249" s="250">
        <v>971.4</v>
      </c>
      <c r="G249" s="73" t="s">
        <v>60</v>
      </c>
      <c r="H249" s="312" t="s">
        <v>53</v>
      </c>
      <c r="I249" s="312" t="s">
        <v>1072</v>
      </c>
      <c r="J249" s="109">
        <v>971.4</v>
      </c>
      <c r="K249" s="109">
        <v>0</v>
      </c>
      <c r="L249" s="250">
        <f t="shared" si="12"/>
        <v>190</v>
      </c>
      <c r="M249" s="109">
        <v>190</v>
      </c>
      <c r="N249" s="109">
        <v>0</v>
      </c>
      <c r="O249" s="315">
        <v>190</v>
      </c>
      <c r="P249" s="315">
        <v>0</v>
      </c>
      <c r="Q249" s="278"/>
      <c r="R249" s="111" t="s">
        <v>107</v>
      </c>
      <c r="S249" s="111"/>
      <c r="T249" s="281"/>
      <c r="U249" s="280">
        <f t="shared" si="10"/>
        <v>0</v>
      </c>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c r="GE249" s="28"/>
      <c r="GF249" s="28"/>
      <c r="GG249" s="28"/>
      <c r="GH249" s="28"/>
      <c r="GI249" s="28"/>
      <c r="GJ249" s="28"/>
      <c r="GK249" s="28"/>
      <c r="GL249" s="28"/>
      <c r="GM249" s="28"/>
      <c r="GN249" s="28"/>
      <c r="GO249" s="28"/>
      <c r="GP249" s="28"/>
      <c r="GQ249" s="28"/>
      <c r="GR249" s="28"/>
      <c r="GS249" s="28"/>
      <c r="GT249" s="28"/>
      <c r="GU249" s="28"/>
      <c r="GV249" s="28"/>
      <c r="GW249" s="28"/>
      <c r="GX249" s="28"/>
      <c r="GY249" s="28"/>
      <c r="GZ249" s="28"/>
      <c r="HA249" s="28"/>
      <c r="HB249" s="28"/>
      <c r="HC249" s="28"/>
      <c r="HD249" s="28"/>
      <c r="HE249" s="28"/>
      <c r="HF249" s="28"/>
      <c r="HG249" s="28"/>
      <c r="HH249" s="28"/>
      <c r="HI249" s="28"/>
      <c r="HJ249" s="28"/>
      <c r="HK249" s="28"/>
      <c r="HL249" s="28"/>
      <c r="HM249" s="28"/>
      <c r="HN249" s="28"/>
      <c r="HO249" s="28"/>
      <c r="HP249" s="28"/>
      <c r="HQ249" s="28"/>
      <c r="HR249" s="28"/>
      <c r="HS249" s="28"/>
      <c r="HT249" s="28"/>
      <c r="HU249" s="28"/>
      <c r="HV249" s="28"/>
      <c r="HW249" s="28"/>
      <c r="HX249" s="28"/>
      <c r="HY249" s="28"/>
      <c r="HZ249" s="28"/>
      <c r="IA249" s="28"/>
      <c r="IB249" s="28"/>
      <c r="IC249" s="28"/>
      <c r="ID249" s="28"/>
      <c r="IE249" s="28"/>
      <c r="IF249" s="28"/>
      <c r="IG249" s="28"/>
      <c r="IH249" s="28"/>
      <c r="II249" s="28"/>
      <c r="IJ249" s="28"/>
      <c r="IK249" s="28"/>
      <c r="IL249" s="28"/>
      <c r="IM249" s="28"/>
      <c r="IN249" s="28"/>
    </row>
    <row r="250" s="230" customFormat="1" ht="57.6" spans="1:248">
      <c r="A250" s="249" t="s">
        <v>1073</v>
      </c>
      <c r="B250" s="62" t="s">
        <v>1074</v>
      </c>
      <c r="C250" s="62" t="s">
        <v>27</v>
      </c>
      <c r="D250" s="62" t="s">
        <v>145</v>
      </c>
      <c r="E250" s="63" t="s">
        <v>1075</v>
      </c>
      <c r="F250" s="250">
        <v>1093.28</v>
      </c>
      <c r="G250" s="62" t="s">
        <v>93</v>
      </c>
      <c r="H250" s="62" t="s">
        <v>53</v>
      </c>
      <c r="I250" s="62" t="s">
        <v>1076</v>
      </c>
      <c r="J250" s="89">
        <v>1093.28</v>
      </c>
      <c r="K250" s="89">
        <v>0</v>
      </c>
      <c r="L250" s="250">
        <f t="shared" si="12"/>
        <v>187.5305</v>
      </c>
      <c r="M250" s="89">
        <v>187.5305</v>
      </c>
      <c r="N250" s="89">
        <v>0</v>
      </c>
      <c r="O250" s="315">
        <v>13.5</v>
      </c>
      <c r="P250" s="315">
        <v>174.0305</v>
      </c>
      <c r="Q250" s="326"/>
      <c r="R250" s="327" t="s">
        <v>62</v>
      </c>
      <c r="S250" s="111" t="s">
        <v>63</v>
      </c>
      <c r="T250" s="281"/>
      <c r="U250" s="280">
        <f t="shared" si="10"/>
        <v>0</v>
      </c>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8"/>
      <c r="GR250" s="28"/>
      <c r="GS250" s="28"/>
      <c r="GT250" s="28"/>
      <c r="GU250" s="28"/>
      <c r="GV250" s="28"/>
      <c r="GW250" s="28"/>
      <c r="GX250" s="28"/>
      <c r="GY250" s="28"/>
      <c r="GZ250" s="28"/>
      <c r="HA250" s="28"/>
      <c r="HB250" s="28"/>
      <c r="HC250" s="28"/>
      <c r="HD250" s="28"/>
      <c r="HE250" s="28"/>
      <c r="HF250" s="28"/>
      <c r="HG250" s="28"/>
      <c r="HH250" s="28"/>
      <c r="HI250" s="28"/>
      <c r="HJ250" s="28"/>
      <c r="HK250" s="28"/>
      <c r="HL250" s="28"/>
      <c r="HM250" s="28"/>
      <c r="HN250" s="28"/>
      <c r="HO250" s="28"/>
      <c r="HP250" s="28"/>
      <c r="HQ250" s="28"/>
      <c r="HR250" s="28"/>
      <c r="HS250" s="28"/>
      <c r="HT250" s="28"/>
      <c r="HU250" s="28"/>
      <c r="HV250" s="28"/>
      <c r="HW250" s="28"/>
      <c r="HX250" s="28"/>
      <c r="HY250" s="28"/>
      <c r="HZ250" s="28"/>
      <c r="IA250" s="28"/>
      <c r="IB250" s="28"/>
      <c r="IC250" s="28"/>
      <c r="ID250" s="28"/>
      <c r="IE250" s="28"/>
      <c r="IF250" s="28"/>
      <c r="IG250" s="28"/>
      <c r="IH250" s="28"/>
      <c r="II250" s="28"/>
      <c r="IJ250" s="28"/>
      <c r="IK250" s="28"/>
      <c r="IL250" s="28"/>
      <c r="IM250" s="28"/>
      <c r="IN250" s="28"/>
    </row>
    <row r="251" s="230" customFormat="1" ht="86.4" spans="1:248">
      <c r="A251" s="249" t="s">
        <v>1077</v>
      </c>
      <c r="B251" s="73" t="s">
        <v>1078</v>
      </c>
      <c r="C251" s="73" t="s">
        <v>27</v>
      </c>
      <c r="D251" s="252" t="s">
        <v>58</v>
      </c>
      <c r="E251" s="75" t="s">
        <v>1079</v>
      </c>
      <c r="F251" s="250">
        <v>1438.14</v>
      </c>
      <c r="G251" s="73" t="s">
        <v>60</v>
      </c>
      <c r="H251" s="312" t="s">
        <v>53</v>
      </c>
      <c r="I251" s="312" t="s">
        <v>1080</v>
      </c>
      <c r="J251" s="109">
        <v>1438.14</v>
      </c>
      <c r="K251" s="109">
        <v>0</v>
      </c>
      <c r="L251" s="250">
        <f t="shared" si="12"/>
        <v>175</v>
      </c>
      <c r="M251" s="109">
        <v>175</v>
      </c>
      <c r="N251" s="109">
        <v>0</v>
      </c>
      <c r="O251" s="315">
        <v>175</v>
      </c>
      <c r="P251" s="315">
        <v>0</v>
      </c>
      <c r="Q251" s="278"/>
      <c r="R251" s="111" t="s">
        <v>107</v>
      </c>
      <c r="S251" s="111"/>
      <c r="T251" s="281"/>
      <c r="U251" s="280">
        <f t="shared" si="10"/>
        <v>0</v>
      </c>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c r="GE251" s="28"/>
      <c r="GF251" s="28"/>
      <c r="GG251" s="28"/>
      <c r="GH251" s="28"/>
      <c r="GI251" s="28"/>
      <c r="GJ251" s="28"/>
      <c r="GK251" s="28"/>
      <c r="GL251" s="28"/>
      <c r="GM251" s="28"/>
      <c r="GN251" s="28"/>
      <c r="GO251" s="28"/>
      <c r="GP251" s="28"/>
      <c r="GQ251" s="28"/>
      <c r="GR251" s="28"/>
      <c r="GS251" s="28"/>
      <c r="GT251" s="28"/>
      <c r="GU251" s="28"/>
      <c r="GV251" s="28"/>
      <c r="GW251" s="28"/>
      <c r="GX251" s="28"/>
      <c r="GY251" s="28"/>
      <c r="GZ251" s="28"/>
      <c r="HA251" s="28"/>
      <c r="HB251" s="28"/>
      <c r="HC251" s="28"/>
      <c r="HD251" s="28"/>
      <c r="HE251" s="28"/>
      <c r="HF251" s="28"/>
      <c r="HG251" s="28"/>
      <c r="HH251" s="28"/>
      <c r="HI251" s="28"/>
      <c r="HJ251" s="28"/>
      <c r="HK251" s="28"/>
      <c r="HL251" s="28"/>
      <c r="HM251" s="28"/>
      <c r="HN251" s="28"/>
      <c r="HO251" s="28"/>
      <c r="HP251" s="28"/>
      <c r="HQ251" s="28"/>
      <c r="HR251" s="28"/>
      <c r="HS251" s="28"/>
      <c r="HT251" s="28"/>
      <c r="HU251" s="28"/>
      <c r="HV251" s="28"/>
      <c r="HW251" s="28"/>
      <c r="HX251" s="28"/>
      <c r="HY251" s="28"/>
      <c r="HZ251" s="28"/>
      <c r="IA251" s="28"/>
      <c r="IB251" s="28"/>
      <c r="IC251" s="28"/>
      <c r="ID251" s="28"/>
      <c r="IE251" s="28"/>
      <c r="IF251" s="28"/>
      <c r="IG251" s="28"/>
      <c r="IH251" s="28"/>
      <c r="II251" s="28"/>
      <c r="IJ251" s="28"/>
      <c r="IK251" s="28"/>
      <c r="IL251" s="28"/>
      <c r="IM251" s="28"/>
      <c r="IN251" s="28"/>
    </row>
    <row r="252" s="105" customFormat="1" ht="72" spans="1:248">
      <c r="A252" s="249" t="s">
        <v>1081</v>
      </c>
      <c r="B252" s="62" t="s">
        <v>1082</v>
      </c>
      <c r="C252" s="62" t="s">
        <v>27</v>
      </c>
      <c r="D252" s="62" t="s">
        <v>145</v>
      </c>
      <c r="E252" s="63" t="s">
        <v>1083</v>
      </c>
      <c r="F252" s="250">
        <v>1471.44</v>
      </c>
      <c r="G252" s="62" t="s">
        <v>78</v>
      </c>
      <c r="H252" s="62" t="s">
        <v>53</v>
      </c>
      <c r="I252" s="62" t="s">
        <v>1084</v>
      </c>
      <c r="J252" s="89">
        <v>1471.44</v>
      </c>
      <c r="K252" s="89">
        <v>0</v>
      </c>
      <c r="L252" s="250">
        <f t="shared" si="12"/>
        <v>55.627638</v>
      </c>
      <c r="M252" s="89">
        <v>55.627638</v>
      </c>
      <c r="N252" s="89">
        <v>0</v>
      </c>
      <c r="O252" s="315">
        <v>55.63</v>
      </c>
      <c r="P252" s="315">
        <v>-0.00236200000000508</v>
      </c>
      <c r="Q252" s="326"/>
      <c r="R252" s="327" t="s">
        <v>107</v>
      </c>
      <c r="S252" s="111"/>
      <c r="T252" s="281"/>
      <c r="U252" s="280">
        <f t="shared" si="10"/>
        <v>0</v>
      </c>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c r="GE252" s="28"/>
      <c r="GF252" s="28"/>
      <c r="GG252" s="28"/>
      <c r="GH252" s="28"/>
      <c r="GI252" s="28"/>
      <c r="GJ252" s="28"/>
      <c r="GK252" s="28"/>
      <c r="GL252" s="28"/>
      <c r="GM252" s="28"/>
      <c r="GN252" s="28"/>
      <c r="GO252" s="28"/>
      <c r="GP252" s="28"/>
      <c r="GQ252" s="28"/>
      <c r="GR252" s="28"/>
      <c r="GS252" s="28"/>
      <c r="GT252" s="28"/>
      <c r="GU252" s="28"/>
      <c r="GV252" s="28"/>
      <c r="GW252" s="28"/>
      <c r="GX252" s="28"/>
      <c r="GY252" s="28"/>
      <c r="GZ252" s="28"/>
      <c r="HA252" s="28"/>
      <c r="HB252" s="28"/>
      <c r="HC252" s="28"/>
      <c r="HD252" s="28"/>
      <c r="HE252" s="28"/>
      <c r="HF252" s="28"/>
      <c r="HG252" s="28"/>
      <c r="HH252" s="28"/>
      <c r="HI252" s="28"/>
      <c r="HJ252" s="28"/>
      <c r="HK252" s="28"/>
      <c r="HL252" s="28"/>
      <c r="HM252" s="28"/>
      <c r="HN252" s="28"/>
      <c r="HO252" s="28"/>
      <c r="HP252" s="28"/>
      <c r="HQ252" s="28"/>
      <c r="HR252" s="28"/>
      <c r="HS252" s="28"/>
      <c r="HT252" s="28"/>
      <c r="HU252" s="28"/>
      <c r="HV252" s="28"/>
      <c r="HW252" s="28"/>
      <c r="HX252" s="28"/>
      <c r="HY252" s="28"/>
      <c r="HZ252" s="28"/>
      <c r="IA252" s="28"/>
      <c r="IB252" s="28"/>
      <c r="IC252" s="28"/>
      <c r="ID252" s="28"/>
      <c r="IE252" s="28"/>
      <c r="IF252" s="28"/>
      <c r="IG252" s="28"/>
      <c r="IH252" s="28"/>
      <c r="II252" s="28"/>
      <c r="IJ252" s="28"/>
      <c r="IK252" s="28"/>
      <c r="IL252" s="28"/>
      <c r="IM252" s="28"/>
      <c r="IN252" s="28"/>
    </row>
    <row r="253" s="230" customFormat="1" ht="43.2" spans="1:248">
      <c r="A253" s="249" t="s">
        <v>1085</v>
      </c>
      <c r="B253" s="62" t="s">
        <v>1086</v>
      </c>
      <c r="C253" s="62" t="s">
        <v>27</v>
      </c>
      <c r="D253" s="62" t="s">
        <v>145</v>
      </c>
      <c r="E253" s="63" t="s">
        <v>1087</v>
      </c>
      <c r="F253" s="250">
        <v>352.69</v>
      </c>
      <c r="G253" s="62" t="s">
        <v>147</v>
      </c>
      <c r="H253" s="62" t="s">
        <v>53</v>
      </c>
      <c r="I253" s="62" t="s">
        <v>1088</v>
      </c>
      <c r="J253" s="89">
        <v>352.69</v>
      </c>
      <c r="K253" s="89">
        <v>0</v>
      </c>
      <c r="L253" s="250">
        <f t="shared" si="12"/>
        <v>41.47</v>
      </c>
      <c r="M253" s="89">
        <v>41.47</v>
      </c>
      <c r="N253" s="89">
        <v>0</v>
      </c>
      <c r="O253" s="315">
        <v>36.5</v>
      </c>
      <c r="P253" s="315">
        <v>4.97</v>
      </c>
      <c r="Q253" s="326"/>
      <c r="R253" s="327" t="s">
        <v>107</v>
      </c>
      <c r="S253" s="111"/>
      <c r="T253" s="281"/>
      <c r="U253" s="280">
        <f t="shared" si="10"/>
        <v>0</v>
      </c>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8"/>
      <c r="GR253" s="28"/>
      <c r="GS253" s="28"/>
      <c r="GT253" s="28"/>
      <c r="GU253" s="28"/>
      <c r="GV253" s="28"/>
      <c r="GW253" s="28"/>
      <c r="GX253" s="28"/>
      <c r="GY253" s="28"/>
      <c r="GZ253" s="28"/>
      <c r="HA253" s="28"/>
      <c r="HB253" s="28"/>
      <c r="HC253" s="28"/>
      <c r="HD253" s="28"/>
      <c r="HE253" s="28"/>
      <c r="HF253" s="28"/>
      <c r="HG253" s="28"/>
      <c r="HH253" s="28"/>
      <c r="HI253" s="28"/>
      <c r="HJ253" s="28"/>
      <c r="HK253" s="28"/>
      <c r="HL253" s="28"/>
      <c r="HM253" s="28"/>
      <c r="HN253" s="28"/>
      <c r="HO253" s="28"/>
      <c r="HP253" s="28"/>
      <c r="HQ253" s="28"/>
      <c r="HR253" s="28"/>
      <c r="HS253" s="28"/>
      <c r="HT253" s="28"/>
      <c r="HU253" s="28"/>
      <c r="HV253" s="28"/>
      <c r="HW253" s="28"/>
      <c r="HX253" s="28"/>
      <c r="HY253" s="28"/>
      <c r="HZ253" s="28"/>
      <c r="IA253" s="28"/>
      <c r="IB253" s="28"/>
      <c r="IC253" s="28"/>
      <c r="ID253" s="28"/>
      <c r="IE253" s="28"/>
      <c r="IF253" s="28"/>
      <c r="IG253" s="28"/>
      <c r="IH253" s="28"/>
      <c r="II253" s="28"/>
      <c r="IJ253" s="28"/>
      <c r="IK253" s="28"/>
      <c r="IL253" s="28"/>
      <c r="IM253" s="28"/>
      <c r="IN253" s="28"/>
    </row>
    <row r="254" s="230" customFormat="1" ht="43.2" spans="1:248">
      <c r="A254" s="249" t="s">
        <v>1089</v>
      </c>
      <c r="B254" s="62" t="s">
        <v>1090</v>
      </c>
      <c r="C254" s="62" t="s">
        <v>27</v>
      </c>
      <c r="D254" s="62" t="s">
        <v>145</v>
      </c>
      <c r="E254" s="63" t="s">
        <v>1091</v>
      </c>
      <c r="F254" s="250">
        <v>146.08</v>
      </c>
      <c r="G254" s="62" t="s">
        <v>60</v>
      </c>
      <c r="H254" s="62" t="s">
        <v>53</v>
      </c>
      <c r="I254" s="62" t="s">
        <v>1092</v>
      </c>
      <c r="J254" s="89">
        <v>146.08</v>
      </c>
      <c r="K254" s="89">
        <v>0</v>
      </c>
      <c r="L254" s="250">
        <f t="shared" si="12"/>
        <v>34.42</v>
      </c>
      <c r="M254" s="89">
        <v>34.42</v>
      </c>
      <c r="N254" s="89">
        <v>0</v>
      </c>
      <c r="O254" s="315">
        <v>33.5</v>
      </c>
      <c r="P254" s="315">
        <v>0.920000000000002</v>
      </c>
      <c r="Q254" s="326"/>
      <c r="R254" s="327" t="s">
        <v>107</v>
      </c>
      <c r="S254" s="111"/>
      <c r="T254" s="281"/>
      <c r="U254" s="280">
        <f t="shared" si="10"/>
        <v>0</v>
      </c>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c r="GE254" s="28"/>
      <c r="GF254" s="28"/>
      <c r="GG254" s="28"/>
      <c r="GH254" s="28"/>
      <c r="GI254" s="28"/>
      <c r="GJ254" s="28"/>
      <c r="GK254" s="28"/>
      <c r="GL254" s="28"/>
      <c r="GM254" s="28"/>
      <c r="GN254" s="28"/>
      <c r="GO254" s="28"/>
      <c r="GP254" s="28"/>
      <c r="GQ254" s="28"/>
      <c r="GR254" s="28"/>
      <c r="GS254" s="28"/>
      <c r="GT254" s="28"/>
      <c r="GU254" s="28"/>
      <c r="GV254" s="28"/>
      <c r="GW254" s="28"/>
      <c r="GX254" s="28"/>
      <c r="GY254" s="28"/>
      <c r="GZ254" s="28"/>
      <c r="HA254" s="28"/>
      <c r="HB254" s="28"/>
      <c r="HC254" s="28"/>
      <c r="HD254" s="28"/>
      <c r="HE254" s="28"/>
      <c r="HF254" s="28"/>
      <c r="HG254" s="28"/>
      <c r="HH254" s="28"/>
      <c r="HI254" s="28"/>
      <c r="HJ254" s="28"/>
      <c r="HK254" s="28"/>
      <c r="HL254" s="28"/>
      <c r="HM254" s="28"/>
      <c r="HN254" s="28"/>
      <c r="HO254" s="28"/>
      <c r="HP254" s="28"/>
      <c r="HQ254" s="28"/>
      <c r="HR254" s="28"/>
      <c r="HS254" s="28"/>
      <c r="HT254" s="28"/>
      <c r="HU254" s="28"/>
      <c r="HV254" s="28"/>
      <c r="HW254" s="28"/>
      <c r="HX254" s="28"/>
      <c r="HY254" s="28"/>
      <c r="HZ254" s="28"/>
      <c r="IA254" s="28"/>
      <c r="IB254" s="28"/>
      <c r="IC254" s="28"/>
      <c r="ID254" s="28"/>
      <c r="IE254" s="28"/>
      <c r="IF254" s="28"/>
      <c r="IG254" s="28"/>
      <c r="IH254" s="28"/>
      <c r="II254" s="28"/>
      <c r="IJ254" s="28"/>
      <c r="IK254" s="28"/>
      <c r="IL254" s="28"/>
      <c r="IM254" s="28"/>
      <c r="IN254" s="28"/>
    </row>
    <row r="255" s="143" customFormat="1" ht="55" customHeight="1" spans="1:248">
      <c r="A255" s="249" t="s">
        <v>1093</v>
      </c>
      <c r="B255" s="58" t="s">
        <v>1094</v>
      </c>
      <c r="C255" s="58" t="s">
        <v>27</v>
      </c>
      <c r="D255" s="252" t="s">
        <v>58</v>
      </c>
      <c r="E255" s="71" t="s">
        <v>1095</v>
      </c>
      <c r="F255" s="250">
        <v>628.05</v>
      </c>
      <c r="G255" s="58" t="s">
        <v>117</v>
      </c>
      <c r="H255" s="58" t="s">
        <v>53</v>
      </c>
      <c r="I255" s="58" t="s">
        <v>1096</v>
      </c>
      <c r="J255" s="89">
        <v>628.05</v>
      </c>
      <c r="K255" s="89">
        <v>0</v>
      </c>
      <c r="L255" s="250">
        <f t="shared" si="12"/>
        <v>30</v>
      </c>
      <c r="M255" s="89">
        <v>30</v>
      </c>
      <c r="N255" s="89">
        <v>0</v>
      </c>
      <c r="O255" s="315">
        <v>30</v>
      </c>
      <c r="P255" s="315">
        <v>0</v>
      </c>
      <c r="Q255" s="278"/>
      <c r="R255" s="111" t="s">
        <v>107</v>
      </c>
      <c r="S255" s="111"/>
      <c r="T255" s="281"/>
      <c r="U255" s="280">
        <f t="shared" si="10"/>
        <v>0</v>
      </c>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8"/>
      <c r="HD255" s="28"/>
      <c r="HE255" s="28"/>
      <c r="HF255" s="28"/>
      <c r="HG255" s="28"/>
      <c r="HH255" s="28"/>
      <c r="HI255" s="28"/>
      <c r="HJ255" s="28"/>
      <c r="HK255" s="28"/>
      <c r="HL255" s="28"/>
      <c r="HM255" s="28"/>
      <c r="HN255" s="28"/>
      <c r="HO255" s="28"/>
      <c r="HP255" s="28"/>
      <c r="HQ255" s="28"/>
      <c r="HR255" s="28"/>
      <c r="HS255" s="28"/>
      <c r="HT255" s="28"/>
      <c r="HU255" s="28"/>
      <c r="HV255" s="28"/>
      <c r="HW255" s="28"/>
      <c r="HX255" s="28"/>
      <c r="HY255" s="28"/>
      <c r="HZ255" s="28"/>
      <c r="IA255" s="28"/>
      <c r="IB255" s="28"/>
      <c r="IC255" s="28"/>
      <c r="ID255" s="28"/>
      <c r="IE255" s="28"/>
      <c r="IF255" s="28"/>
      <c r="IG255" s="28"/>
      <c r="IH255" s="28"/>
      <c r="II255" s="28"/>
      <c r="IJ255" s="28"/>
      <c r="IK255" s="28"/>
      <c r="IL255" s="28"/>
      <c r="IM255" s="28"/>
      <c r="IN255" s="28"/>
    </row>
    <row r="256" s="143" customFormat="1" ht="72" spans="1:248">
      <c r="A256" s="249" t="s">
        <v>1097</v>
      </c>
      <c r="B256" s="62" t="s">
        <v>1098</v>
      </c>
      <c r="C256" s="62" t="s">
        <v>27</v>
      </c>
      <c r="D256" s="62" t="s">
        <v>145</v>
      </c>
      <c r="E256" s="63" t="s">
        <v>1099</v>
      </c>
      <c r="F256" s="250">
        <v>738.79</v>
      </c>
      <c r="G256" s="62" t="s">
        <v>78</v>
      </c>
      <c r="H256" s="62" t="s">
        <v>53</v>
      </c>
      <c r="I256" s="62" t="s">
        <v>1100</v>
      </c>
      <c r="J256" s="89">
        <v>738.79</v>
      </c>
      <c r="K256" s="89">
        <v>0</v>
      </c>
      <c r="L256" s="250">
        <f t="shared" si="12"/>
        <v>23.408194</v>
      </c>
      <c r="M256" s="89">
        <v>23.408194</v>
      </c>
      <c r="N256" s="89">
        <v>0</v>
      </c>
      <c r="O256" s="315">
        <v>23.41</v>
      </c>
      <c r="P256" s="315">
        <v>-0.00180599999999842</v>
      </c>
      <c r="Q256" s="326"/>
      <c r="R256" s="327" t="s">
        <v>62</v>
      </c>
      <c r="S256" s="111"/>
      <c r="T256" s="281"/>
      <c r="U256" s="280">
        <f t="shared" si="10"/>
        <v>0</v>
      </c>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c r="FY256" s="28"/>
      <c r="FZ256" s="28"/>
      <c r="GA256" s="28"/>
      <c r="GB256" s="28"/>
      <c r="GC256" s="28"/>
      <c r="GD256" s="28"/>
      <c r="GE256" s="28"/>
      <c r="GF256" s="28"/>
      <c r="GG256" s="28"/>
      <c r="GH256" s="28"/>
      <c r="GI256" s="28"/>
      <c r="GJ256" s="28"/>
      <c r="GK256" s="28"/>
      <c r="GL256" s="28"/>
      <c r="GM256" s="28"/>
      <c r="GN256" s="28"/>
      <c r="GO256" s="28"/>
      <c r="GP256" s="28"/>
      <c r="GQ256" s="28"/>
      <c r="GR256" s="28"/>
      <c r="GS256" s="28"/>
      <c r="GT256" s="28"/>
      <c r="GU256" s="28"/>
      <c r="GV256" s="28"/>
      <c r="GW256" s="28"/>
      <c r="GX256" s="28"/>
      <c r="GY256" s="28"/>
      <c r="GZ256" s="28"/>
      <c r="HA256" s="28"/>
      <c r="HB256" s="28"/>
      <c r="HC256" s="28"/>
      <c r="HD256" s="28"/>
      <c r="HE256" s="28"/>
      <c r="HF256" s="28"/>
      <c r="HG256" s="28"/>
      <c r="HH256" s="28"/>
      <c r="HI256" s="28"/>
      <c r="HJ256" s="28"/>
      <c r="HK256" s="28"/>
      <c r="HL256" s="28"/>
      <c r="HM256" s="28"/>
      <c r="HN256" s="28"/>
      <c r="HO256" s="28"/>
      <c r="HP256" s="28"/>
      <c r="HQ256" s="28"/>
      <c r="HR256" s="28"/>
      <c r="HS256" s="28"/>
      <c r="HT256" s="28"/>
      <c r="HU256" s="28"/>
      <c r="HV256" s="28"/>
      <c r="HW256" s="28"/>
      <c r="HX256" s="28"/>
      <c r="HY256" s="28"/>
      <c r="HZ256" s="28"/>
      <c r="IA256" s="28"/>
      <c r="IB256" s="28"/>
      <c r="IC256" s="28"/>
      <c r="ID256" s="28"/>
      <c r="IE256" s="28"/>
      <c r="IF256" s="28"/>
      <c r="IG256" s="28"/>
      <c r="IH256" s="28"/>
      <c r="II256" s="28"/>
      <c r="IJ256" s="28"/>
      <c r="IK256" s="28"/>
      <c r="IL256" s="28"/>
      <c r="IM256" s="28"/>
      <c r="IN256" s="28"/>
    </row>
    <row r="257" s="21" customFormat="1" ht="100.8" spans="1:248">
      <c r="A257" s="249" t="s">
        <v>1101</v>
      </c>
      <c r="B257" s="328" t="s">
        <v>1102</v>
      </c>
      <c r="C257" s="294" t="s">
        <v>27</v>
      </c>
      <c r="D257" s="252" t="s">
        <v>58</v>
      </c>
      <c r="E257" s="296" t="s">
        <v>1103</v>
      </c>
      <c r="F257" s="250">
        <v>3392</v>
      </c>
      <c r="G257" s="294" t="s">
        <v>127</v>
      </c>
      <c r="H257" s="294" t="s">
        <v>53</v>
      </c>
      <c r="I257" s="294" t="s">
        <v>1104</v>
      </c>
      <c r="J257" s="298">
        <v>3392</v>
      </c>
      <c r="K257" s="298">
        <v>0</v>
      </c>
      <c r="L257" s="250">
        <f t="shared" si="12"/>
        <v>10</v>
      </c>
      <c r="M257" s="298">
        <v>10</v>
      </c>
      <c r="N257" s="298">
        <v>0</v>
      </c>
      <c r="O257" s="315">
        <v>10</v>
      </c>
      <c r="P257" s="315">
        <v>0</v>
      </c>
      <c r="Q257" s="278"/>
      <c r="R257" s="111" t="s">
        <v>107</v>
      </c>
      <c r="S257" s="111"/>
      <c r="T257" s="281"/>
      <c r="U257" s="280">
        <f t="shared" si="10"/>
        <v>0</v>
      </c>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row>
    <row r="258" s="21" customFormat="1" ht="60" customHeight="1" spans="1:248">
      <c r="A258" s="249" t="s">
        <v>1105</v>
      </c>
      <c r="B258" s="329" t="s">
        <v>1106</v>
      </c>
      <c r="C258" s="58" t="s">
        <v>27</v>
      </c>
      <c r="D258" s="252" t="s">
        <v>58</v>
      </c>
      <c r="E258" s="71" t="s">
        <v>1107</v>
      </c>
      <c r="F258" s="250">
        <v>287.72</v>
      </c>
      <c r="G258" s="58" t="s">
        <v>476</v>
      </c>
      <c r="H258" s="58" t="s">
        <v>53</v>
      </c>
      <c r="I258" s="58" t="s">
        <v>1108</v>
      </c>
      <c r="J258" s="89">
        <v>287.72</v>
      </c>
      <c r="K258" s="89">
        <v>0</v>
      </c>
      <c r="L258" s="250">
        <f t="shared" si="12"/>
        <v>5.5</v>
      </c>
      <c r="M258" s="89">
        <v>5.5</v>
      </c>
      <c r="N258" s="89">
        <v>0</v>
      </c>
      <c r="O258" s="315">
        <v>5.5</v>
      </c>
      <c r="P258" s="315">
        <v>0</v>
      </c>
      <c r="Q258" s="278"/>
      <c r="R258" s="111" t="s">
        <v>107</v>
      </c>
      <c r="S258" s="111"/>
      <c r="T258" s="281"/>
      <c r="U258" s="280">
        <f t="shared" si="10"/>
        <v>0</v>
      </c>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c r="GE258" s="28"/>
      <c r="GF258" s="28"/>
      <c r="GG258" s="28"/>
      <c r="GH258" s="28"/>
      <c r="GI258" s="28"/>
      <c r="GJ258" s="28"/>
      <c r="GK258" s="28"/>
      <c r="GL258" s="28"/>
      <c r="GM258" s="28"/>
      <c r="GN258" s="28"/>
      <c r="GO258" s="28"/>
      <c r="GP258" s="28"/>
      <c r="GQ258" s="28"/>
      <c r="GR258" s="28"/>
      <c r="GS258" s="28"/>
      <c r="GT258" s="28"/>
      <c r="GU258" s="28"/>
      <c r="GV258" s="28"/>
      <c r="GW258" s="28"/>
      <c r="GX258" s="28"/>
      <c r="GY258" s="28"/>
      <c r="GZ258" s="28"/>
      <c r="HA258" s="28"/>
      <c r="HB258" s="28"/>
      <c r="HC258" s="28"/>
      <c r="HD258" s="28"/>
      <c r="HE258" s="28"/>
      <c r="HF258" s="28"/>
      <c r="HG258" s="28"/>
      <c r="HH258" s="28"/>
      <c r="HI258" s="28"/>
      <c r="HJ258" s="28"/>
      <c r="HK258" s="28"/>
      <c r="HL258" s="28"/>
      <c r="HM258" s="28"/>
      <c r="HN258" s="28"/>
      <c r="HO258" s="28"/>
      <c r="HP258" s="28"/>
      <c r="HQ258" s="28"/>
      <c r="HR258" s="28"/>
      <c r="HS258" s="28"/>
      <c r="HT258" s="28"/>
      <c r="HU258" s="28"/>
      <c r="HV258" s="28"/>
      <c r="HW258" s="28"/>
      <c r="HX258" s="28"/>
      <c r="HY258" s="28"/>
      <c r="HZ258" s="28"/>
      <c r="IA258" s="28"/>
      <c r="IB258" s="28"/>
      <c r="IC258" s="28"/>
      <c r="ID258" s="28"/>
      <c r="IE258" s="28"/>
      <c r="IF258" s="28"/>
      <c r="IG258" s="28"/>
      <c r="IH258" s="28"/>
      <c r="II258" s="28"/>
      <c r="IJ258" s="28"/>
      <c r="IK258" s="28"/>
      <c r="IL258" s="28"/>
      <c r="IM258" s="28"/>
      <c r="IN258" s="28"/>
    </row>
    <row r="259" s="21" customFormat="1" ht="127" customHeight="1" spans="1:248">
      <c r="A259" s="249" t="s">
        <v>1109</v>
      </c>
      <c r="B259" s="330" t="s">
        <v>1110</v>
      </c>
      <c r="C259" s="73" t="s">
        <v>28</v>
      </c>
      <c r="D259" s="252" t="s">
        <v>58</v>
      </c>
      <c r="E259" s="75" t="s">
        <v>1111</v>
      </c>
      <c r="F259" s="250">
        <v>5651.85</v>
      </c>
      <c r="G259" s="89" t="s">
        <v>156</v>
      </c>
      <c r="H259" s="251" t="s">
        <v>53</v>
      </c>
      <c r="I259" s="73" t="s">
        <v>1112</v>
      </c>
      <c r="J259" s="109">
        <v>5651.85</v>
      </c>
      <c r="K259" s="109">
        <v>0</v>
      </c>
      <c r="L259" s="250">
        <f t="shared" si="12"/>
        <v>1350</v>
      </c>
      <c r="M259" s="109">
        <v>1350</v>
      </c>
      <c r="N259" s="109">
        <v>0</v>
      </c>
      <c r="O259" s="268">
        <v>1350</v>
      </c>
      <c r="P259" s="268">
        <v>0</v>
      </c>
      <c r="Q259" s="278"/>
      <c r="R259" s="111" t="s">
        <v>88</v>
      </c>
      <c r="S259" s="111" t="s">
        <v>63</v>
      </c>
      <c r="T259" s="281"/>
      <c r="U259" s="280">
        <f t="shared" si="10"/>
        <v>0</v>
      </c>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c r="GE259" s="28"/>
      <c r="GF259" s="28"/>
      <c r="GG259" s="28"/>
      <c r="GH259" s="28"/>
      <c r="GI259" s="28"/>
      <c r="GJ259" s="28"/>
      <c r="GK259" s="28"/>
      <c r="GL259" s="28"/>
      <c r="GM259" s="28"/>
      <c r="GN259" s="28"/>
      <c r="GO259" s="28"/>
      <c r="GP259" s="28"/>
      <c r="GQ259" s="28"/>
      <c r="GR259" s="28"/>
      <c r="GS259" s="28"/>
      <c r="GT259" s="28"/>
      <c r="GU259" s="28"/>
      <c r="GV259" s="28"/>
      <c r="GW259" s="28"/>
      <c r="GX259" s="28"/>
      <c r="GY259" s="28"/>
      <c r="GZ259" s="28"/>
      <c r="HA259" s="28"/>
      <c r="HB259" s="28"/>
      <c r="HC259" s="28"/>
      <c r="HD259" s="28"/>
      <c r="HE259" s="28"/>
      <c r="HF259" s="28"/>
      <c r="HG259" s="28"/>
      <c r="HH259" s="28"/>
      <c r="HI259" s="28"/>
      <c r="HJ259" s="28"/>
      <c r="HK259" s="28"/>
      <c r="HL259" s="28"/>
      <c r="HM259" s="28"/>
      <c r="HN259" s="28"/>
      <c r="HO259" s="28"/>
      <c r="HP259" s="28"/>
      <c r="HQ259" s="28"/>
      <c r="HR259" s="28"/>
      <c r="HS259" s="28"/>
      <c r="HT259" s="28"/>
      <c r="HU259" s="28"/>
      <c r="HV259" s="28"/>
      <c r="HW259" s="28"/>
      <c r="HX259" s="28"/>
      <c r="HY259" s="28"/>
      <c r="HZ259" s="28"/>
      <c r="IA259" s="28"/>
      <c r="IB259" s="28"/>
      <c r="IC259" s="28"/>
      <c r="ID259" s="28"/>
      <c r="IE259" s="28"/>
      <c r="IF259" s="28"/>
      <c r="IG259" s="28"/>
      <c r="IH259" s="28"/>
      <c r="II259" s="28"/>
      <c r="IJ259" s="28"/>
      <c r="IK259" s="28"/>
      <c r="IL259" s="28"/>
      <c r="IM259" s="28"/>
      <c r="IN259" s="28"/>
    </row>
    <row r="260" s="21" customFormat="1" ht="72" spans="1:248">
      <c r="A260" s="249" t="s">
        <v>1113</v>
      </c>
      <c r="B260" s="58" t="s">
        <v>1114</v>
      </c>
      <c r="C260" s="73" t="s">
        <v>28</v>
      </c>
      <c r="D260" s="73" t="s">
        <v>28</v>
      </c>
      <c r="E260" s="75" t="s">
        <v>1115</v>
      </c>
      <c r="F260" s="250">
        <v>1632.6612</v>
      </c>
      <c r="G260" s="293" t="s">
        <v>156</v>
      </c>
      <c r="H260" s="58" t="s">
        <v>53</v>
      </c>
      <c r="I260" s="332" t="s">
        <v>1116</v>
      </c>
      <c r="J260" s="250">
        <v>1632.6612</v>
      </c>
      <c r="K260" s="89">
        <v>0</v>
      </c>
      <c r="L260" s="250">
        <f t="shared" si="12"/>
        <v>371</v>
      </c>
      <c r="M260" s="250">
        <v>371</v>
      </c>
      <c r="N260" s="89">
        <v>0</v>
      </c>
      <c r="O260" s="268">
        <v>333.9</v>
      </c>
      <c r="P260" s="268">
        <v>37.1</v>
      </c>
      <c r="Q260" s="278"/>
      <c r="R260" s="111" t="s">
        <v>88</v>
      </c>
      <c r="S260" s="111" t="s">
        <v>63</v>
      </c>
      <c r="T260" s="281"/>
      <c r="U260" s="280">
        <f t="shared" si="10"/>
        <v>0</v>
      </c>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c r="GE260" s="28"/>
      <c r="GF260" s="28"/>
      <c r="GG260" s="28"/>
      <c r="GH260" s="28"/>
      <c r="GI260" s="28"/>
      <c r="GJ260" s="28"/>
      <c r="GK260" s="28"/>
      <c r="GL260" s="28"/>
      <c r="GM260" s="28"/>
      <c r="GN260" s="28"/>
      <c r="GO260" s="28"/>
      <c r="GP260" s="28"/>
      <c r="GQ260" s="28"/>
      <c r="GR260" s="28"/>
      <c r="GS260" s="28"/>
      <c r="GT260" s="28"/>
      <c r="GU260" s="28"/>
      <c r="GV260" s="28"/>
      <c r="GW260" s="28"/>
      <c r="GX260" s="28"/>
      <c r="GY260" s="28"/>
      <c r="GZ260" s="28"/>
      <c r="HA260" s="28"/>
      <c r="HB260" s="28"/>
      <c r="HC260" s="28"/>
      <c r="HD260" s="28"/>
      <c r="HE260" s="28"/>
      <c r="HF260" s="28"/>
      <c r="HG260" s="28"/>
      <c r="HH260" s="28"/>
      <c r="HI260" s="28"/>
      <c r="HJ260" s="28"/>
      <c r="HK260" s="28"/>
      <c r="HL260" s="28"/>
      <c r="HM260" s="28"/>
      <c r="HN260" s="28"/>
      <c r="HO260" s="28"/>
      <c r="HP260" s="28"/>
      <c r="HQ260" s="28"/>
      <c r="HR260" s="28"/>
      <c r="HS260" s="28"/>
      <c r="HT260" s="28"/>
      <c r="HU260" s="28"/>
      <c r="HV260" s="28"/>
      <c r="HW260" s="28"/>
      <c r="HX260" s="28"/>
      <c r="HY260" s="28"/>
      <c r="HZ260" s="28"/>
      <c r="IA260" s="28"/>
      <c r="IB260" s="28"/>
      <c r="IC260" s="28"/>
      <c r="ID260" s="28"/>
      <c r="IE260" s="28"/>
      <c r="IF260" s="28"/>
      <c r="IG260" s="28"/>
      <c r="IH260" s="28"/>
      <c r="II260" s="28"/>
      <c r="IJ260" s="28"/>
      <c r="IK260" s="28"/>
      <c r="IL260" s="28"/>
      <c r="IM260" s="28"/>
      <c r="IN260" s="28"/>
    </row>
    <row r="261" s="230" customFormat="1" ht="43.2" spans="1:248">
      <c r="A261" s="249" t="s">
        <v>1117</v>
      </c>
      <c r="B261" s="58" t="s">
        <v>1118</v>
      </c>
      <c r="C261" s="73" t="s">
        <v>28</v>
      </c>
      <c r="D261" s="73" t="s">
        <v>28</v>
      </c>
      <c r="E261" s="75" t="s">
        <v>1119</v>
      </c>
      <c r="F261" s="250">
        <v>379.461</v>
      </c>
      <c r="G261" s="293" t="s">
        <v>364</v>
      </c>
      <c r="H261" s="58" t="s">
        <v>53</v>
      </c>
      <c r="I261" s="293"/>
      <c r="J261" s="250">
        <v>379.461</v>
      </c>
      <c r="K261" s="89">
        <v>0</v>
      </c>
      <c r="L261" s="250">
        <f t="shared" si="12"/>
        <v>265.62</v>
      </c>
      <c r="M261" s="250">
        <v>265.62</v>
      </c>
      <c r="N261" s="89">
        <v>0</v>
      </c>
      <c r="O261" s="268">
        <v>265.62</v>
      </c>
      <c r="P261" s="268">
        <v>0</v>
      </c>
      <c r="Q261" s="278"/>
      <c r="R261" s="111" t="s">
        <v>88</v>
      </c>
      <c r="S261" s="111"/>
      <c r="T261" s="281"/>
      <c r="U261" s="280">
        <f t="shared" si="10"/>
        <v>0</v>
      </c>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c r="GE261" s="28"/>
      <c r="GF261" s="28"/>
      <c r="GG261" s="28"/>
      <c r="GH261" s="28"/>
      <c r="GI261" s="28"/>
      <c r="GJ261" s="28"/>
      <c r="GK261" s="28"/>
      <c r="GL261" s="28"/>
      <c r="GM261" s="28"/>
      <c r="GN261" s="28"/>
      <c r="GO261" s="28"/>
      <c r="GP261" s="28"/>
      <c r="GQ261" s="28"/>
      <c r="GR261" s="28"/>
      <c r="GS261" s="28"/>
      <c r="GT261" s="28"/>
      <c r="GU261" s="28"/>
      <c r="GV261" s="28"/>
      <c r="GW261" s="28"/>
      <c r="GX261" s="28"/>
      <c r="GY261" s="28"/>
      <c r="GZ261" s="28"/>
      <c r="HA261" s="28"/>
      <c r="HB261" s="28"/>
      <c r="HC261" s="28"/>
      <c r="HD261" s="28"/>
      <c r="HE261" s="28"/>
      <c r="HF261" s="28"/>
      <c r="HG261" s="28"/>
      <c r="HH261" s="28"/>
      <c r="HI261" s="28"/>
      <c r="HJ261" s="28"/>
      <c r="HK261" s="28"/>
      <c r="HL261" s="28"/>
      <c r="HM261" s="28"/>
      <c r="HN261" s="28"/>
      <c r="HO261" s="28"/>
      <c r="HP261" s="28"/>
      <c r="HQ261" s="28"/>
      <c r="HR261" s="28"/>
      <c r="HS261" s="28"/>
      <c r="HT261" s="28"/>
      <c r="HU261" s="28"/>
      <c r="HV261" s="28"/>
      <c r="HW261" s="28"/>
      <c r="HX261" s="28"/>
      <c r="HY261" s="28"/>
      <c r="HZ261" s="28"/>
      <c r="IA261" s="28"/>
      <c r="IB261" s="28"/>
      <c r="IC261" s="28"/>
      <c r="ID261" s="28"/>
      <c r="IE261" s="28"/>
      <c r="IF261" s="28"/>
      <c r="IG261" s="28"/>
      <c r="IH261" s="28"/>
      <c r="II261" s="28"/>
      <c r="IJ261" s="28"/>
      <c r="IK261" s="28"/>
      <c r="IL261" s="28"/>
      <c r="IM261" s="28"/>
      <c r="IN261" s="28"/>
    </row>
    <row r="262" s="230" customFormat="1" ht="95" customHeight="1" spans="1:248">
      <c r="A262" s="249" t="s">
        <v>1120</v>
      </c>
      <c r="B262" s="58" t="s">
        <v>1121</v>
      </c>
      <c r="C262" s="58" t="s">
        <v>28</v>
      </c>
      <c r="D262" s="252" t="s">
        <v>58</v>
      </c>
      <c r="E262" s="71" t="s">
        <v>1122</v>
      </c>
      <c r="F262" s="250">
        <v>4730.77</v>
      </c>
      <c r="G262" s="58" t="s">
        <v>112</v>
      </c>
      <c r="H262" s="58" t="s">
        <v>53</v>
      </c>
      <c r="I262" s="58" t="s">
        <v>1123</v>
      </c>
      <c r="J262" s="89">
        <v>4730.77</v>
      </c>
      <c r="K262" s="89">
        <v>0</v>
      </c>
      <c r="L262" s="250">
        <f t="shared" si="12"/>
        <v>200</v>
      </c>
      <c r="M262" s="89">
        <v>200</v>
      </c>
      <c r="N262" s="89">
        <v>0</v>
      </c>
      <c r="O262" s="268">
        <v>90</v>
      </c>
      <c r="P262" s="268">
        <v>110</v>
      </c>
      <c r="Q262" s="278"/>
      <c r="R262" s="111" t="s">
        <v>88</v>
      </c>
      <c r="S262" s="111" t="s">
        <v>63</v>
      </c>
      <c r="T262" s="281"/>
      <c r="U262" s="280">
        <f t="shared" si="10"/>
        <v>0</v>
      </c>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row>
    <row r="263" s="230" customFormat="1" ht="115.2" spans="1:248">
      <c r="A263" s="249" t="s">
        <v>1124</v>
      </c>
      <c r="B263" s="58" t="s">
        <v>1125</v>
      </c>
      <c r="C263" s="73" t="s">
        <v>28</v>
      </c>
      <c r="D263" s="73" t="s">
        <v>28</v>
      </c>
      <c r="E263" s="75" t="s">
        <v>1126</v>
      </c>
      <c r="F263" s="250">
        <v>935.87</v>
      </c>
      <c r="G263" s="293" t="s">
        <v>364</v>
      </c>
      <c r="H263" s="58" t="s">
        <v>53</v>
      </c>
      <c r="I263" s="293" t="s">
        <v>1127</v>
      </c>
      <c r="J263" s="250">
        <v>935.87</v>
      </c>
      <c r="K263" s="89">
        <v>0</v>
      </c>
      <c r="L263" s="250">
        <f t="shared" si="12"/>
        <v>190</v>
      </c>
      <c r="M263" s="89">
        <v>190</v>
      </c>
      <c r="N263" s="89">
        <v>0</v>
      </c>
      <c r="O263" s="268">
        <v>190</v>
      </c>
      <c r="P263" s="268">
        <v>0</v>
      </c>
      <c r="Q263" s="278"/>
      <c r="R263" s="111" t="s">
        <v>88</v>
      </c>
      <c r="S263" s="111" t="s">
        <v>63</v>
      </c>
      <c r="T263" s="281"/>
      <c r="U263" s="280">
        <f t="shared" si="10"/>
        <v>0</v>
      </c>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c r="FY263" s="28"/>
      <c r="FZ263" s="28"/>
      <c r="GA263" s="28"/>
      <c r="GB263" s="28"/>
      <c r="GC263" s="28"/>
      <c r="GD263" s="28"/>
      <c r="GE263" s="28"/>
      <c r="GF263" s="28"/>
      <c r="GG263" s="28"/>
      <c r="GH263" s="28"/>
      <c r="GI263" s="28"/>
      <c r="GJ263" s="28"/>
      <c r="GK263" s="28"/>
      <c r="GL263" s="28"/>
      <c r="GM263" s="28"/>
      <c r="GN263" s="28"/>
      <c r="GO263" s="28"/>
      <c r="GP263" s="28"/>
      <c r="GQ263" s="28"/>
      <c r="GR263" s="28"/>
      <c r="GS263" s="28"/>
      <c r="GT263" s="28"/>
      <c r="GU263" s="28"/>
      <c r="GV263" s="28"/>
      <c r="GW263" s="28"/>
      <c r="GX263" s="28"/>
      <c r="GY263" s="28"/>
      <c r="GZ263" s="28"/>
      <c r="HA263" s="28"/>
      <c r="HB263" s="28"/>
      <c r="HC263" s="28"/>
      <c r="HD263" s="28"/>
      <c r="HE263" s="28"/>
      <c r="HF263" s="28"/>
      <c r="HG263" s="28"/>
      <c r="HH263" s="28"/>
      <c r="HI263" s="28"/>
      <c r="HJ263" s="28"/>
      <c r="HK263" s="28"/>
      <c r="HL263" s="28"/>
      <c r="HM263" s="28"/>
      <c r="HN263" s="28"/>
      <c r="HO263" s="28"/>
      <c r="HP263" s="28"/>
      <c r="HQ263" s="28"/>
      <c r="HR263" s="28"/>
      <c r="HS263" s="28"/>
      <c r="HT263" s="28"/>
      <c r="HU263" s="28"/>
      <c r="HV263" s="28"/>
      <c r="HW263" s="28"/>
      <c r="HX263" s="28"/>
      <c r="HY263" s="28"/>
      <c r="HZ263" s="28"/>
      <c r="IA263" s="28"/>
      <c r="IB263" s="28"/>
      <c r="IC263" s="28"/>
      <c r="ID263" s="28"/>
      <c r="IE263" s="28"/>
      <c r="IF263" s="28"/>
      <c r="IG263" s="28"/>
      <c r="IH263" s="28"/>
      <c r="II263" s="28"/>
      <c r="IJ263" s="28"/>
      <c r="IK263" s="28"/>
      <c r="IL263" s="28"/>
      <c r="IM263" s="28"/>
      <c r="IN263" s="28"/>
    </row>
    <row r="264" s="230" customFormat="1" ht="28.8" spans="1:248">
      <c r="A264" s="249" t="s">
        <v>1128</v>
      </c>
      <c r="B264" s="251" t="s">
        <v>1129</v>
      </c>
      <c r="C264" s="251" t="s">
        <v>28</v>
      </c>
      <c r="D264" s="252" t="s">
        <v>58</v>
      </c>
      <c r="E264" s="253" t="s">
        <v>1130</v>
      </c>
      <c r="F264" s="250">
        <v>360</v>
      </c>
      <c r="G264" s="253" t="s">
        <v>127</v>
      </c>
      <c r="H264" s="251" t="s">
        <v>53</v>
      </c>
      <c r="I264" s="251" t="s">
        <v>1131</v>
      </c>
      <c r="J264" s="270">
        <v>360</v>
      </c>
      <c r="K264" s="89">
        <v>0</v>
      </c>
      <c r="L264" s="250">
        <f t="shared" si="12"/>
        <v>64</v>
      </c>
      <c r="M264" s="109">
        <v>64</v>
      </c>
      <c r="N264" s="89">
        <v>0</v>
      </c>
      <c r="O264" s="268">
        <v>0</v>
      </c>
      <c r="P264" s="268">
        <v>64</v>
      </c>
      <c r="Q264" s="278"/>
      <c r="R264" s="111" t="s">
        <v>88</v>
      </c>
      <c r="S264" s="111"/>
      <c r="T264" s="281"/>
      <c r="U264" s="280">
        <f t="shared" si="10"/>
        <v>0</v>
      </c>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c r="GE264" s="28"/>
      <c r="GF264" s="28"/>
      <c r="GG264" s="28"/>
      <c r="GH264" s="28"/>
      <c r="GI264" s="28"/>
      <c r="GJ264" s="28"/>
      <c r="GK264" s="28"/>
      <c r="GL264" s="28"/>
      <c r="GM264" s="28"/>
      <c r="GN264" s="28"/>
      <c r="GO264" s="28"/>
      <c r="GP264" s="28"/>
      <c r="GQ264" s="28"/>
      <c r="GR264" s="28"/>
      <c r="GS264" s="28"/>
      <c r="GT264" s="28"/>
      <c r="GU264" s="28"/>
      <c r="GV264" s="28"/>
      <c r="GW264" s="28"/>
      <c r="GX264" s="28"/>
      <c r="GY264" s="28"/>
      <c r="GZ264" s="28"/>
      <c r="HA264" s="28"/>
      <c r="HB264" s="28"/>
      <c r="HC264" s="28"/>
      <c r="HD264" s="28"/>
      <c r="HE264" s="28"/>
      <c r="HF264" s="28"/>
      <c r="HG264" s="28"/>
      <c r="HH264" s="28"/>
      <c r="HI264" s="28"/>
      <c r="HJ264" s="28"/>
      <c r="HK264" s="28"/>
      <c r="HL264" s="28"/>
      <c r="HM264" s="28"/>
      <c r="HN264" s="28"/>
      <c r="HO264" s="28"/>
      <c r="HP264" s="28"/>
      <c r="HQ264" s="28"/>
      <c r="HR264" s="28"/>
      <c r="HS264" s="28"/>
      <c r="HT264" s="28"/>
      <c r="HU264" s="28"/>
      <c r="HV264" s="28"/>
      <c r="HW264" s="28"/>
      <c r="HX264" s="28"/>
      <c r="HY264" s="28"/>
      <c r="HZ264" s="28"/>
      <c r="IA264" s="28"/>
      <c r="IB264" s="28"/>
      <c r="IC264" s="28"/>
      <c r="ID264" s="28"/>
      <c r="IE264" s="28"/>
      <c r="IF264" s="28"/>
      <c r="IG264" s="28"/>
      <c r="IH264" s="28"/>
      <c r="II264" s="28"/>
      <c r="IJ264" s="28"/>
      <c r="IK264" s="28"/>
      <c r="IL264" s="28"/>
      <c r="IM264" s="28"/>
      <c r="IN264" s="28"/>
    </row>
    <row r="265" s="231" customFormat="1" ht="43.2" spans="1:248">
      <c r="A265" s="249" t="s">
        <v>1132</v>
      </c>
      <c r="B265" s="251" t="s">
        <v>1133</v>
      </c>
      <c r="C265" s="251" t="s">
        <v>28</v>
      </c>
      <c r="D265" s="252" t="s">
        <v>58</v>
      </c>
      <c r="E265" s="253" t="s">
        <v>1134</v>
      </c>
      <c r="F265" s="250">
        <v>175</v>
      </c>
      <c r="G265" s="253" t="s">
        <v>595</v>
      </c>
      <c r="H265" s="251" t="s">
        <v>53</v>
      </c>
      <c r="I265" s="251" t="s">
        <v>1135</v>
      </c>
      <c r="J265" s="270">
        <v>175</v>
      </c>
      <c r="K265" s="89">
        <v>0</v>
      </c>
      <c r="L265" s="250">
        <f t="shared" si="12"/>
        <v>45</v>
      </c>
      <c r="M265" s="109">
        <v>45</v>
      </c>
      <c r="N265" s="89">
        <v>0</v>
      </c>
      <c r="O265" s="268">
        <v>0</v>
      </c>
      <c r="P265" s="268">
        <v>45</v>
      </c>
      <c r="Q265" s="278"/>
      <c r="R265" s="111" t="s">
        <v>88</v>
      </c>
      <c r="S265" s="111"/>
      <c r="T265" s="281"/>
      <c r="U265" s="280">
        <f t="shared" si="10"/>
        <v>0</v>
      </c>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c r="GE265" s="28"/>
      <c r="GF265" s="28"/>
      <c r="GG265" s="28"/>
      <c r="GH265" s="28"/>
      <c r="GI265" s="28"/>
      <c r="GJ265" s="28"/>
      <c r="GK265" s="28"/>
      <c r="GL265" s="28"/>
      <c r="GM265" s="28"/>
      <c r="GN265" s="28"/>
      <c r="GO265" s="28"/>
      <c r="GP265" s="28"/>
      <c r="GQ265" s="28"/>
      <c r="GR265" s="28"/>
      <c r="GS265" s="28"/>
      <c r="GT265" s="28"/>
      <c r="GU265" s="28"/>
      <c r="GV265" s="28"/>
      <c r="GW265" s="28"/>
      <c r="GX265" s="28"/>
      <c r="GY265" s="28"/>
      <c r="GZ265" s="28"/>
      <c r="HA265" s="28"/>
      <c r="HB265" s="28"/>
      <c r="HC265" s="28"/>
      <c r="HD265" s="28"/>
      <c r="HE265" s="28"/>
      <c r="HF265" s="28"/>
      <c r="HG265" s="28"/>
      <c r="HH265" s="28"/>
      <c r="HI265" s="28"/>
      <c r="HJ265" s="28"/>
      <c r="HK265" s="28"/>
      <c r="HL265" s="28"/>
      <c r="HM265" s="28"/>
      <c r="HN265" s="28"/>
      <c r="HO265" s="28"/>
      <c r="HP265" s="28"/>
      <c r="HQ265" s="28"/>
      <c r="HR265" s="28"/>
      <c r="HS265" s="28"/>
      <c r="HT265" s="28"/>
      <c r="HU265" s="28"/>
      <c r="HV265" s="28"/>
      <c r="HW265" s="28"/>
      <c r="HX265" s="28"/>
      <c r="HY265" s="28"/>
      <c r="HZ265" s="28"/>
      <c r="IA265" s="28"/>
      <c r="IB265" s="28"/>
      <c r="IC265" s="28"/>
      <c r="ID265" s="28"/>
      <c r="IE265" s="28"/>
      <c r="IF265" s="28"/>
      <c r="IG265" s="28"/>
      <c r="IH265" s="28"/>
      <c r="II265" s="28"/>
      <c r="IJ265" s="28"/>
      <c r="IK265" s="28"/>
      <c r="IL265" s="28"/>
      <c r="IM265" s="28"/>
      <c r="IN265" s="28"/>
    </row>
    <row r="266" s="231" customFormat="1" ht="28.8" spans="1:248">
      <c r="A266" s="249" t="s">
        <v>1136</v>
      </c>
      <c r="B266" s="251" t="s">
        <v>1137</v>
      </c>
      <c r="C266" s="251" t="s">
        <v>28</v>
      </c>
      <c r="D266" s="252" t="s">
        <v>58</v>
      </c>
      <c r="E266" s="253" t="s">
        <v>1138</v>
      </c>
      <c r="F266" s="250">
        <v>52.08</v>
      </c>
      <c r="G266" s="253" t="s">
        <v>550</v>
      </c>
      <c r="H266" s="251" t="s">
        <v>53</v>
      </c>
      <c r="I266" s="251" t="s">
        <v>1139</v>
      </c>
      <c r="J266" s="89">
        <v>52.08</v>
      </c>
      <c r="K266" s="89">
        <v>0</v>
      </c>
      <c r="L266" s="250">
        <f t="shared" si="12"/>
        <v>12</v>
      </c>
      <c r="M266" s="109">
        <v>12</v>
      </c>
      <c r="N266" s="109">
        <v>0</v>
      </c>
      <c r="O266" s="268">
        <v>0</v>
      </c>
      <c r="P266" s="268">
        <v>12</v>
      </c>
      <c r="Q266" s="278"/>
      <c r="R266" s="111" t="s">
        <v>88</v>
      </c>
      <c r="S266" s="111"/>
      <c r="T266" s="281"/>
      <c r="U266" s="280">
        <f t="shared" si="10"/>
        <v>0</v>
      </c>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c r="FY266" s="28"/>
      <c r="FZ266" s="28"/>
      <c r="GA266" s="28"/>
      <c r="GB266" s="28"/>
      <c r="GC266" s="28"/>
      <c r="GD266" s="28"/>
      <c r="GE266" s="28"/>
      <c r="GF266" s="28"/>
      <c r="GG266" s="28"/>
      <c r="GH266" s="28"/>
      <c r="GI266" s="28"/>
      <c r="GJ266" s="28"/>
      <c r="GK266" s="28"/>
      <c r="GL266" s="28"/>
      <c r="GM266" s="28"/>
      <c r="GN266" s="28"/>
      <c r="GO266" s="28"/>
      <c r="GP266" s="28"/>
      <c r="GQ266" s="28"/>
      <c r="GR266" s="28"/>
      <c r="GS266" s="28"/>
      <c r="GT266" s="28"/>
      <c r="GU266" s="28"/>
      <c r="GV266" s="28"/>
      <c r="GW266" s="28"/>
      <c r="GX266" s="28"/>
      <c r="GY266" s="28"/>
      <c r="GZ266" s="28"/>
      <c r="HA266" s="28"/>
      <c r="HB266" s="28"/>
      <c r="HC266" s="28"/>
      <c r="HD266" s="28"/>
      <c r="HE266" s="28"/>
      <c r="HF266" s="28"/>
      <c r="HG266" s="28"/>
      <c r="HH266" s="28"/>
      <c r="HI266" s="28"/>
      <c r="HJ266" s="28"/>
      <c r="HK266" s="28"/>
      <c r="HL266" s="28"/>
      <c r="HM266" s="28"/>
      <c r="HN266" s="28"/>
      <c r="HO266" s="28"/>
      <c r="HP266" s="28"/>
      <c r="HQ266" s="28"/>
      <c r="HR266" s="28"/>
      <c r="HS266" s="28"/>
      <c r="HT266" s="28"/>
      <c r="HU266" s="28"/>
      <c r="HV266" s="28"/>
      <c r="HW266" s="28"/>
      <c r="HX266" s="28"/>
      <c r="HY266" s="28"/>
      <c r="HZ266" s="28"/>
      <c r="IA266" s="28"/>
      <c r="IB266" s="28"/>
      <c r="IC266" s="28"/>
      <c r="ID266" s="28"/>
      <c r="IE266" s="28"/>
      <c r="IF266" s="28"/>
      <c r="IG266" s="28"/>
      <c r="IH266" s="28"/>
      <c r="II266" s="28"/>
      <c r="IJ266" s="28"/>
      <c r="IK266" s="28"/>
      <c r="IL266" s="28"/>
      <c r="IM266" s="28"/>
      <c r="IN266" s="28"/>
    </row>
    <row r="267" s="231" customFormat="1" ht="86.4" spans="1:248">
      <c r="A267" s="249" t="s">
        <v>1140</v>
      </c>
      <c r="B267" s="72" t="s">
        <v>1141</v>
      </c>
      <c r="C267" s="72" t="s">
        <v>29</v>
      </c>
      <c r="D267" s="72" t="s">
        <v>209</v>
      </c>
      <c r="E267" s="201" t="s">
        <v>1142</v>
      </c>
      <c r="F267" s="250">
        <v>370.09</v>
      </c>
      <c r="G267" s="331" t="s">
        <v>73</v>
      </c>
      <c r="H267" s="331" t="s">
        <v>53</v>
      </c>
      <c r="I267" s="331" t="s">
        <v>1143</v>
      </c>
      <c r="J267" s="60">
        <v>370.09</v>
      </c>
      <c r="K267" s="60">
        <v>0</v>
      </c>
      <c r="L267" s="250">
        <f t="shared" si="12"/>
        <v>20.8</v>
      </c>
      <c r="M267" s="60">
        <v>20.8</v>
      </c>
      <c r="N267" s="60">
        <v>0</v>
      </c>
      <c r="O267" s="268">
        <v>16.6</v>
      </c>
      <c r="P267" s="268">
        <v>0</v>
      </c>
      <c r="Q267" s="333"/>
      <c r="R267" s="334" t="s">
        <v>107</v>
      </c>
      <c r="S267" s="111"/>
      <c r="T267" s="335" t="s">
        <v>1144</v>
      </c>
      <c r="U267" s="280">
        <f t="shared" si="10"/>
        <v>-4.2</v>
      </c>
      <c r="V267" s="336"/>
      <c r="W267" s="336"/>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5"/>
      <c r="BQ267" s="105"/>
      <c r="BR267" s="105"/>
      <c r="BS267" s="105"/>
      <c r="BT267" s="105"/>
      <c r="BU267" s="105"/>
      <c r="BV267" s="105"/>
      <c r="BW267" s="105"/>
      <c r="BX267" s="105"/>
      <c r="BY267" s="105"/>
      <c r="BZ267" s="105"/>
      <c r="CA267" s="105"/>
      <c r="CB267" s="105"/>
      <c r="CC267" s="105"/>
      <c r="CD267" s="105"/>
      <c r="CE267" s="105"/>
      <c r="CF267" s="105"/>
      <c r="CG267" s="105"/>
      <c r="CH267" s="105"/>
      <c r="CI267" s="105"/>
      <c r="CJ267" s="105"/>
      <c r="CK267" s="105"/>
      <c r="CL267" s="105"/>
      <c r="CM267" s="105"/>
      <c r="CN267" s="105"/>
      <c r="CO267" s="105"/>
      <c r="CP267" s="105"/>
      <c r="CQ267" s="105"/>
      <c r="CR267" s="105"/>
      <c r="CS267" s="105"/>
      <c r="CT267" s="105"/>
      <c r="CU267" s="105"/>
      <c r="CV267" s="105"/>
      <c r="CW267" s="105"/>
      <c r="CX267" s="105"/>
      <c r="CY267" s="105"/>
      <c r="CZ267" s="105"/>
      <c r="DA267" s="105"/>
      <c r="DB267" s="105"/>
      <c r="DC267" s="105"/>
      <c r="DD267" s="105"/>
      <c r="DE267" s="105"/>
      <c r="DF267" s="105"/>
      <c r="DG267" s="105"/>
      <c r="DH267" s="105"/>
      <c r="DI267" s="105"/>
      <c r="DJ267" s="105"/>
      <c r="DK267" s="105"/>
      <c r="DL267" s="105"/>
      <c r="DM267" s="105"/>
      <c r="DN267" s="105"/>
      <c r="DO267" s="105"/>
      <c r="DP267" s="105"/>
      <c r="DQ267" s="105"/>
      <c r="DR267" s="105"/>
      <c r="DS267" s="105"/>
      <c r="DT267" s="105"/>
      <c r="DU267" s="105"/>
      <c r="DV267" s="105"/>
      <c r="DW267" s="105"/>
      <c r="DX267" s="105"/>
      <c r="DY267" s="105"/>
      <c r="DZ267" s="105"/>
      <c r="EA267" s="105"/>
      <c r="EB267" s="105"/>
      <c r="EC267" s="105"/>
      <c r="ED267" s="105"/>
      <c r="EE267" s="105"/>
      <c r="EF267" s="105"/>
      <c r="EG267" s="105"/>
      <c r="EH267" s="105"/>
      <c r="EI267" s="105"/>
      <c r="EJ267" s="105"/>
      <c r="EK267" s="105"/>
      <c r="EL267" s="105"/>
      <c r="EM267" s="105"/>
      <c r="EN267" s="105"/>
      <c r="EO267" s="105"/>
      <c r="EP267" s="105"/>
      <c r="EQ267" s="105"/>
      <c r="ER267" s="105"/>
      <c r="ES267" s="105"/>
      <c r="ET267" s="105"/>
      <c r="EU267" s="105"/>
      <c r="EV267" s="105"/>
      <c r="EW267" s="105"/>
      <c r="EX267" s="105"/>
      <c r="EY267" s="105"/>
      <c r="EZ267" s="105"/>
      <c r="FA267" s="105"/>
      <c r="FB267" s="105"/>
      <c r="FC267" s="105"/>
      <c r="FD267" s="105"/>
      <c r="FE267" s="105"/>
      <c r="FF267" s="105"/>
      <c r="FG267" s="105"/>
      <c r="FH267" s="105"/>
      <c r="FI267" s="105"/>
      <c r="FJ267" s="105"/>
      <c r="FK267" s="105"/>
      <c r="FL267" s="105"/>
      <c r="FM267" s="105"/>
      <c r="FN267" s="105"/>
      <c r="FO267" s="105"/>
      <c r="FP267" s="105"/>
      <c r="FQ267" s="105"/>
      <c r="FR267" s="105"/>
      <c r="FS267" s="105"/>
      <c r="FT267" s="105"/>
      <c r="FU267" s="105"/>
      <c r="FV267" s="105"/>
      <c r="FW267" s="105"/>
      <c r="FX267" s="105"/>
      <c r="FY267" s="105"/>
      <c r="FZ267" s="105"/>
      <c r="GA267" s="105"/>
      <c r="GB267" s="105"/>
      <c r="GC267" s="105"/>
      <c r="GD267" s="105"/>
      <c r="GE267" s="105"/>
      <c r="GF267" s="105"/>
      <c r="GG267" s="105"/>
      <c r="GH267" s="105"/>
      <c r="GI267" s="105"/>
      <c r="GJ267" s="105"/>
      <c r="GK267" s="105"/>
      <c r="GL267" s="105"/>
      <c r="GM267" s="105"/>
      <c r="GN267" s="105"/>
      <c r="GO267" s="105"/>
      <c r="GP267" s="105"/>
      <c r="GQ267" s="105"/>
      <c r="GR267" s="105"/>
      <c r="GS267" s="105"/>
      <c r="GT267" s="105"/>
      <c r="GU267" s="105"/>
      <c r="GV267" s="105"/>
      <c r="GW267" s="105"/>
      <c r="GX267" s="105"/>
      <c r="GY267" s="105"/>
      <c r="GZ267" s="105"/>
      <c r="HA267" s="105"/>
      <c r="HB267" s="105"/>
      <c r="HC267" s="105"/>
      <c r="HD267" s="105"/>
      <c r="HE267" s="105"/>
      <c r="HF267" s="105"/>
      <c r="HG267" s="105"/>
      <c r="HH267" s="105"/>
      <c r="HI267" s="105"/>
      <c r="HJ267" s="105"/>
      <c r="HK267" s="105"/>
      <c r="HL267" s="105"/>
      <c r="HM267" s="105"/>
      <c r="HN267" s="105"/>
      <c r="HO267" s="105"/>
      <c r="HP267" s="105"/>
      <c r="HQ267" s="105"/>
      <c r="HR267" s="105"/>
      <c r="HS267" s="105"/>
      <c r="HT267" s="105"/>
      <c r="HU267" s="105"/>
      <c r="HV267" s="105"/>
      <c r="HW267" s="105"/>
      <c r="HX267" s="105"/>
      <c r="HY267" s="105"/>
      <c r="HZ267" s="105"/>
      <c r="IA267" s="105"/>
      <c r="IB267" s="105"/>
      <c r="IC267" s="105"/>
      <c r="ID267" s="105"/>
      <c r="IE267" s="105"/>
      <c r="IF267" s="105"/>
      <c r="IG267" s="105"/>
      <c r="IH267" s="105"/>
      <c r="II267" s="105"/>
      <c r="IJ267" s="105"/>
      <c r="IK267" s="105"/>
      <c r="IL267" s="105"/>
      <c r="IM267" s="105"/>
      <c r="IN267" s="105"/>
    </row>
    <row r="268" s="231" customFormat="1" ht="115.2" spans="1:248">
      <c r="A268" s="249" t="s">
        <v>1145</v>
      </c>
      <c r="B268" s="72" t="s">
        <v>1146</v>
      </c>
      <c r="C268" s="72" t="s">
        <v>31</v>
      </c>
      <c r="D268" s="72" t="s">
        <v>31</v>
      </c>
      <c r="E268" s="201" t="s">
        <v>1147</v>
      </c>
      <c r="F268" s="250">
        <v>684.89</v>
      </c>
      <c r="G268" s="72" t="s">
        <v>156</v>
      </c>
      <c r="H268" s="72" t="s">
        <v>53</v>
      </c>
      <c r="I268" s="72" t="s">
        <v>310</v>
      </c>
      <c r="J268" s="89">
        <v>648.84</v>
      </c>
      <c r="K268" s="60">
        <v>0</v>
      </c>
      <c r="L268" s="250">
        <f t="shared" si="12"/>
        <v>36.05</v>
      </c>
      <c r="M268" s="60">
        <v>36.05</v>
      </c>
      <c r="N268" s="60">
        <v>0</v>
      </c>
      <c r="O268" s="313">
        <v>0</v>
      </c>
      <c r="P268" s="313">
        <v>36.05</v>
      </c>
      <c r="Q268" s="276"/>
      <c r="R268" s="277" t="s">
        <v>107</v>
      </c>
      <c r="S268" s="111" t="s">
        <v>63</v>
      </c>
      <c r="T268" s="281"/>
      <c r="U268" s="280">
        <f t="shared" si="10"/>
        <v>0</v>
      </c>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c r="GG268" s="28"/>
      <c r="GH268" s="28"/>
      <c r="GI268" s="28"/>
      <c r="GJ268" s="28"/>
      <c r="GK268" s="28"/>
      <c r="GL268" s="28"/>
      <c r="GM268" s="28"/>
      <c r="GN268" s="28"/>
      <c r="GO268" s="28"/>
      <c r="GP268" s="28"/>
      <c r="GQ268" s="28"/>
      <c r="GR268" s="28"/>
      <c r="GS268" s="28"/>
      <c r="GT268" s="28"/>
      <c r="GU268" s="28"/>
      <c r="GV268" s="28"/>
      <c r="GW268" s="28"/>
      <c r="GX268" s="28"/>
      <c r="GY268" s="28"/>
      <c r="GZ268" s="28"/>
      <c r="HA268" s="28"/>
      <c r="HB268" s="28"/>
      <c r="HC268" s="28"/>
      <c r="HD268" s="28"/>
      <c r="HE268" s="28"/>
      <c r="HF268" s="28"/>
      <c r="HG268" s="28"/>
      <c r="HH268" s="28"/>
      <c r="HI268" s="28"/>
      <c r="HJ268" s="28"/>
      <c r="HK268" s="28"/>
      <c r="HL268" s="28"/>
      <c r="HM268" s="28"/>
      <c r="HN268" s="28"/>
      <c r="HO268" s="28"/>
      <c r="HP268" s="28"/>
      <c r="HQ268" s="28"/>
      <c r="HR268" s="28"/>
      <c r="HS268" s="28"/>
      <c r="HT268" s="28"/>
      <c r="HU268" s="28"/>
      <c r="HV268" s="28"/>
      <c r="HW268" s="28"/>
      <c r="HX268" s="28"/>
      <c r="HY268" s="28"/>
      <c r="HZ268" s="28"/>
      <c r="IA268" s="28"/>
      <c r="IB268" s="28"/>
      <c r="IC268" s="28"/>
      <c r="ID268" s="28"/>
      <c r="IE268" s="28"/>
      <c r="IF268" s="28"/>
      <c r="IG268" s="28"/>
      <c r="IH268" s="28"/>
      <c r="II268" s="28"/>
      <c r="IJ268" s="28"/>
      <c r="IK268" s="28"/>
      <c r="IL268" s="28"/>
      <c r="IM268" s="28"/>
      <c r="IN268" s="28"/>
    </row>
    <row r="269" s="231" customFormat="1" ht="64" customHeight="1" spans="1:248">
      <c r="A269" s="249" t="s">
        <v>1148</v>
      </c>
      <c r="B269" s="72" t="s">
        <v>1149</v>
      </c>
      <c r="C269" s="72" t="s">
        <v>32</v>
      </c>
      <c r="D269" s="72" t="s">
        <v>32</v>
      </c>
      <c r="E269" s="201" t="s">
        <v>1150</v>
      </c>
      <c r="F269" s="250">
        <v>678.578</v>
      </c>
      <c r="G269" s="72" t="s">
        <v>136</v>
      </c>
      <c r="H269" s="72"/>
      <c r="I269" s="72" t="s">
        <v>1151</v>
      </c>
      <c r="J269" s="89">
        <v>678.578</v>
      </c>
      <c r="K269" s="60">
        <v>0</v>
      </c>
      <c r="L269" s="250">
        <f t="shared" si="12"/>
        <v>32.427</v>
      </c>
      <c r="M269" s="60">
        <v>32.427</v>
      </c>
      <c r="N269" s="60">
        <v>0</v>
      </c>
      <c r="O269" s="313"/>
      <c r="P269" s="313"/>
      <c r="Q269" s="276"/>
      <c r="R269" s="277" t="s">
        <v>107</v>
      </c>
      <c r="S269" s="111"/>
      <c r="T269" s="281"/>
      <c r="U269" s="280"/>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row>
    <row r="270" s="231" customFormat="1" ht="78" customHeight="1" spans="1:248">
      <c r="A270" s="249" t="s">
        <v>1152</v>
      </c>
      <c r="B270" s="72" t="s">
        <v>1153</v>
      </c>
      <c r="C270" s="72" t="s">
        <v>30</v>
      </c>
      <c r="D270" s="72" t="s">
        <v>140</v>
      </c>
      <c r="E270" s="201" t="s">
        <v>1154</v>
      </c>
      <c r="F270" s="250">
        <v>5558.96</v>
      </c>
      <c r="G270" s="72" t="s">
        <v>93</v>
      </c>
      <c r="H270" s="72" t="s">
        <v>53</v>
      </c>
      <c r="I270" s="72" t="s">
        <v>1155</v>
      </c>
      <c r="J270" s="60">
        <v>5558.96</v>
      </c>
      <c r="K270" s="60">
        <v>0</v>
      </c>
      <c r="L270" s="250">
        <f t="shared" si="12"/>
        <v>766</v>
      </c>
      <c r="M270" s="60">
        <v>766</v>
      </c>
      <c r="N270" s="60">
        <v>0</v>
      </c>
      <c r="O270" s="313">
        <v>58</v>
      </c>
      <c r="P270" s="313">
        <v>708</v>
      </c>
      <c r="Q270" s="277"/>
      <c r="R270" s="277" t="s">
        <v>378</v>
      </c>
      <c r="S270" s="111" t="s">
        <v>63</v>
      </c>
      <c r="T270" s="281"/>
      <c r="U270" s="280">
        <f>O270+P270-L270</f>
        <v>0</v>
      </c>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8"/>
      <c r="GR270" s="28"/>
      <c r="GS270" s="28"/>
      <c r="GT270" s="28"/>
      <c r="GU270" s="28"/>
      <c r="GV270" s="28"/>
      <c r="GW270" s="28"/>
      <c r="GX270" s="28"/>
      <c r="GY270" s="28"/>
      <c r="GZ270" s="28"/>
      <c r="HA270" s="28"/>
      <c r="HB270" s="28"/>
      <c r="HC270" s="28"/>
      <c r="HD270" s="28"/>
      <c r="HE270" s="28"/>
      <c r="HF270" s="28"/>
      <c r="HG270" s="28"/>
      <c r="HH270" s="28"/>
      <c r="HI270" s="28"/>
      <c r="HJ270" s="28"/>
      <c r="HK270" s="28"/>
      <c r="HL270" s="28"/>
      <c r="HM270" s="28"/>
      <c r="HN270" s="28"/>
      <c r="HO270" s="28"/>
      <c r="HP270" s="28"/>
      <c r="HQ270" s="28"/>
      <c r="HR270" s="28"/>
      <c r="HS270" s="28"/>
      <c r="HT270" s="28"/>
      <c r="HU270" s="28"/>
      <c r="HV270" s="28"/>
      <c r="HW270" s="28"/>
      <c r="HX270" s="28"/>
      <c r="HY270" s="28"/>
      <c r="HZ270" s="28"/>
      <c r="IA270" s="28"/>
      <c r="IB270" s="28"/>
      <c r="IC270" s="28"/>
      <c r="ID270" s="28"/>
      <c r="IE270" s="28"/>
      <c r="IF270" s="28"/>
      <c r="IG270" s="28"/>
      <c r="IH270" s="28"/>
      <c r="II270" s="28"/>
      <c r="IJ270" s="28"/>
      <c r="IK270" s="28"/>
      <c r="IL270" s="28"/>
      <c r="IM270" s="28"/>
      <c r="IN270" s="28"/>
    </row>
  </sheetData>
  <autoFilter ref="A5:IN270">
    <extLst/>
  </autoFilter>
  <sortState ref="A277:IN284">
    <sortCondition ref="L277:L284" descending="1"/>
  </sortState>
  <mergeCells count="21">
    <mergeCell ref="A1:B1"/>
    <mergeCell ref="A2:S2"/>
    <mergeCell ref="D3:E3"/>
    <mergeCell ref="L4:N4"/>
    <mergeCell ref="A7:E7"/>
    <mergeCell ref="A4:A5"/>
    <mergeCell ref="B4:B5"/>
    <mergeCell ref="C4:C5"/>
    <mergeCell ref="D4:D5"/>
    <mergeCell ref="E4:E5"/>
    <mergeCell ref="F4:F5"/>
    <mergeCell ref="G4:G5"/>
    <mergeCell ref="H4:H5"/>
    <mergeCell ref="I4:I5"/>
    <mergeCell ref="J4:J5"/>
    <mergeCell ref="K4:K5"/>
    <mergeCell ref="O4:O5"/>
    <mergeCell ref="P4:P5"/>
    <mergeCell ref="Q4:Q5"/>
    <mergeCell ref="R4:R5"/>
    <mergeCell ref="S4:S5"/>
  </mergeCells>
  <printOptions horizontalCentered="1"/>
  <pageMargins left="0.35" right="0.35" top="0.550694444444444" bottom="0.511805555555556" header="0.507638888888889" footer="0.507638888888889"/>
  <pageSetup paperSize="8" scale="95" fitToHeight="0" orientation="landscape" horizontalDpi="600" verticalDpi="600"/>
  <headerFooter alignWithMargins="0">
    <oddFooter>&amp;C&amp;"宋体"&amp;11第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Y43"/>
  <sheetViews>
    <sheetView view="pageBreakPreview" zoomScale="70" zoomScaleNormal="85" workbookViewId="0">
      <pane ySplit="6" topLeftCell="A7" activePane="bottomLeft" state="frozen"/>
      <selection/>
      <selection pane="bottomLeft" activeCell="C6" sqref="C6"/>
    </sheetView>
  </sheetViews>
  <sheetFormatPr defaultColWidth="7.87962962962963" defaultRowHeight="15.6"/>
  <cols>
    <col min="1" max="1" width="6.87962962962963" style="146" customWidth="1"/>
    <col min="2" max="2" width="26.5" style="147" customWidth="1"/>
    <col min="3" max="3" width="10.3796296296296" style="147" customWidth="1"/>
    <col min="4" max="4" width="8.62962962962963" style="148" customWidth="1"/>
    <col min="5" max="5" width="47.75" style="149" customWidth="1"/>
    <col min="6" max="6" width="16.1296296296296" style="150" customWidth="1"/>
    <col min="7" max="7" width="12.8796296296296" style="151" customWidth="1"/>
    <col min="8" max="8" width="8.87962962962963" style="151" customWidth="1"/>
    <col min="9" max="9" width="12.75" style="151" customWidth="1"/>
    <col min="10" max="10" width="13" style="150" customWidth="1"/>
    <col min="11" max="11" width="14.1296296296296" style="150" customWidth="1"/>
    <col min="12" max="12" width="13.8796296296296" style="150" customWidth="1"/>
    <col min="13" max="13" width="13" style="152" customWidth="1"/>
    <col min="14" max="14" width="10.8796296296296" style="152" customWidth="1"/>
    <col min="15" max="16" width="12.8518518518519" style="207" hidden="1" customWidth="1"/>
    <col min="17" max="17" width="11.2685185185185" style="207" hidden="1" customWidth="1"/>
    <col min="18" max="18" width="11.9074074074074" style="207" hidden="1" customWidth="1"/>
    <col min="19" max="19" width="10" style="207" customWidth="1"/>
    <col min="20" max="20" width="8.62962962962963" style="147" customWidth="1"/>
    <col min="21" max="21" width="13.3796296296296" style="154" customWidth="1"/>
    <col min="22" max="22" width="12.6296296296296" style="130" hidden="1" customWidth="1"/>
    <col min="23" max="30" width="7.87962962962963" style="21" customWidth="1"/>
    <col min="31" max="16384" width="7.87962962962963" style="21"/>
  </cols>
  <sheetData>
    <row r="1" ht="23" customHeight="1" spans="1:2">
      <c r="A1" s="38" t="s">
        <v>21</v>
      </c>
      <c r="B1" s="155"/>
    </row>
    <row r="2" ht="36.95" customHeight="1" spans="1:20">
      <c r="A2" s="39" t="s">
        <v>1156</v>
      </c>
      <c r="B2" s="39"/>
      <c r="C2" s="39"/>
      <c r="D2" s="39"/>
      <c r="E2" s="40"/>
      <c r="F2" s="156"/>
      <c r="G2" s="39"/>
      <c r="H2" s="39"/>
      <c r="I2" s="39"/>
      <c r="J2" s="156"/>
      <c r="K2" s="156"/>
      <c r="L2" s="156"/>
      <c r="M2" s="156"/>
      <c r="N2" s="156"/>
      <c r="O2" s="177"/>
      <c r="P2" s="177"/>
      <c r="Q2" s="177"/>
      <c r="R2" s="177"/>
      <c r="S2" s="177"/>
      <c r="T2" s="189"/>
    </row>
    <row r="3" s="21" customFormat="1" ht="18.75" customHeight="1" spans="1:22">
      <c r="A3" s="157"/>
      <c r="B3" s="158"/>
      <c r="C3" s="158"/>
      <c r="D3" s="159"/>
      <c r="E3" s="160"/>
      <c r="F3" s="161"/>
      <c r="G3" s="43"/>
      <c r="H3" s="43"/>
      <c r="I3" s="43"/>
      <c r="J3" s="178"/>
      <c r="K3" s="179"/>
      <c r="L3" s="161"/>
      <c r="M3" s="180" t="s">
        <v>2</v>
      </c>
      <c r="N3" s="178"/>
      <c r="O3" s="217"/>
      <c r="P3" s="217"/>
      <c r="Q3" s="217"/>
      <c r="R3" s="217"/>
      <c r="S3" s="217"/>
      <c r="T3" s="191"/>
      <c r="U3" s="154"/>
      <c r="V3" s="130"/>
    </row>
    <row r="4" s="22" customFormat="1" ht="21.75" customHeight="1" spans="1:22">
      <c r="A4" s="47" t="s">
        <v>3</v>
      </c>
      <c r="B4" s="48" t="s">
        <v>34</v>
      </c>
      <c r="C4" s="48" t="s">
        <v>35</v>
      </c>
      <c r="D4" s="48" t="s">
        <v>1157</v>
      </c>
      <c r="E4" s="48" t="s">
        <v>37</v>
      </c>
      <c r="F4" s="162" t="s">
        <v>1158</v>
      </c>
      <c r="G4" s="48" t="s">
        <v>38</v>
      </c>
      <c r="H4" s="48" t="s">
        <v>39</v>
      </c>
      <c r="I4" s="48" t="s">
        <v>40</v>
      </c>
      <c r="J4" s="162" t="s">
        <v>41</v>
      </c>
      <c r="K4" s="162" t="s">
        <v>7</v>
      </c>
      <c r="L4" s="162" t="s">
        <v>8</v>
      </c>
      <c r="M4" s="166"/>
      <c r="N4" s="166"/>
      <c r="O4" s="163" t="s">
        <v>42</v>
      </c>
      <c r="P4" s="163" t="s">
        <v>43</v>
      </c>
      <c r="Q4" s="163" t="s">
        <v>1159</v>
      </c>
      <c r="R4" s="163" t="s">
        <v>9</v>
      </c>
      <c r="S4" s="163" t="s">
        <v>44</v>
      </c>
      <c r="T4" s="48" t="s">
        <v>10</v>
      </c>
      <c r="U4" s="192"/>
      <c r="V4" s="192"/>
    </row>
    <row r="5" s="22" customFormat="1" ht="27.95" customHeight="1" spans="1:22">
      <c r="A5" s="164"/>
      <c r="B5" s="165"/>
      <c r="C5" s="165"/>
      <c r="D5" s="165"/>
      <c r="E5" s="165"/>
      <c r="F5" s="166"/>
      <c r="G5" s="165"/>
      <c r="H5" s="165"/>
      <c r="I5" s="165"/>
      <c r="J5" s="182"/>
      <c r="K5" s="183"/>
      <c r="L5" s="162" t="s">
        <v>12</v>
      </c>
      <c r="M5" s="162" t="s">
        <v>45</v>
      </c>
      <c r="N5" s="162" t="s">
        <v>46</v>
      </c>
      <c r="O5" s="167"/>
      <c r="P5" s="167"/>
      <c r="Q5" s="167"/>
      <c r="R5" s="167"/>
      <c r="S5" s="167"/>
      <c r="T5" s="165"/>
      <c r="U5" s="192"/>
      <c r="V5" s="192"/>
    </row>
    <row r="6" s="23" customFormat="1" ht="32" customHeight="1" spans="1:21">
      <c r="A6" s="50" t="s">
        <v>48</v>
      </c>
      <c r="B6" s="50" t="s">
        <v>56</v>
      </c>
      <c r="C6" s="50" t="s">
        <v>64</v>
      </c>
      <c r="D6" s="50" t="s">
        <v>70</v>
      </c>
      <c r="E6" s="50" t="s">
        <v>75</v>
      </c>
      <c r="F6" s="50" t="s">
        <v>80</v>
      </c>
      <c r="G6" s="50" t="s">
        <v>84</v>
      </c>
      <c r="H6" s="50" t="s">
        <v>90</v>
      </c>
      <c r="I6" s="50" t="s">
        <v>96</v>
      </c>
      <c r="J6" s="50" t="s">
        <v>102</v>
      </c>
      <c r="K6" s="50" t="s">
        <v>108</v>
      </c>
      <c r="L6" s="50" t="s">
        <v>114</v>
      </c>
      <c r="M6" s="50" t="s">
        <v>119</v>
      </c>
      <c r="N6" s="50" t="s">
        <v>124</v>
      </c>
      <c r="O6" s="50" t="s">
        <v>129</v>
      </c>
      <c r="P6" s="50" t="s">
        <v>133</v>
      </c>
      <c r="Q6" s="50" t="s">
        <v>138</v>
      </c>
      <c r="R6" s="50" t="s">
        <v>143</v>
      </c>
      <c r="S6" s="50" t="s">
        <v>129</v>
      </c>
      <c r="T6" s="50" t="s">
        <v>133</v>
      </c>
      <c r="U6" s="218"/>
    </row>
    <row r="7" ht="39" customHeight="1" spans="1:21">
      <c r="A7" s="208" t="s">
        <v>1160</v>
      </c>
      <c r="B7" s="208"/>
      <c r="C7" s="208"/>
      <c r="D7" s="208"/>
      <c r="E7" s="208"/>
      <c r="F7" s="209">
        <f t="shared" ref="F7:N7" si="0">SUM(F8:F43)</f>
        <v>933865.98</v>
      </c>
      <c r="G7" s="210"/>
      <c r="H7" s="210"/>
      <c r="I7" s="210"/>
      <c r="J7" s="209">
        <f t="shared" si="0"/>
        <v>664507.114</v>
      </c>
      <c r="K7" s="209">
        <f t="shared" si="0"/>
        <v>205241.842470588</v>
      </c>
      <c r="L7" s="209">
        <f t="shared" si="0"/>
        <v>201383.565425</v>
      </c>
      <c r="M7" s="209">
        <f t="shared" si="0"/>
        <v>201383.565425</v>
      </c>
      <c r="N7" s="209">
        <f t="shared" si="0"/>
        <v>0</v>
      </c>
      <c r="O7" s="209">
        <f>SUM(O9:O43)</f>
        <v>142456.415425</v>
      </c>
      <c r="P7" s="209">
        <f>SUM(P9:P43)</f>
        <v>55373.15</v>
      </c>
      <c r="Q7" s="219"/>
      <c r="R7" s="209">
        <f>SUM(R9:R43)</f>
        <v>11837</v>
      </c>
      <c r="S7" s="219"/>
      <c r="T7" s="203"/>
      <c r="U7" s="21"/>
    </row>
    <row r="8" s="21" customFormat="1" ht="84" customHeight="1" spans="1:22">
      <c r="A8" s="140" t="s">
        <v>48</v>
      </c>
      <c r="B8" s="175" t="s">
        <v>1161</v>
      </c>
      <c r="C8" s="57" t="s">
        <v>24</v>
      </c>
      <c r="D8" s="57" t="s">
        <v>140</v>
      </c>
      <c r="E8" s="211" t="s">
        <v>1162</v>
      </c>
      <c r="F8" s="185">
        <v>33995.63</v>
      </c>
      <c r="G8" s="57" t="s">
        <v>925</v>
      </c>
      <c r="H8" s="57" t="s">
        <v>100</v>
      </c>
      <c r="I8" s="57" t="s">
        <v>1163</v>
      </c>
      <c r="J8" s="185">
        <v>26256</v>
      </c>
      <c r="K8" s="185">
        <v>2200</v>
      </c>
      <c r="L8" s="60">
        <f t="shared" ref="L8:L14" si="1">M8+N8</f>
        <v>1904</v>
      </c>
      <c r="M8" s="185">
        <v>1904</v>
      </c>
      <c r="N8" s="185">
        <v>0</v>
      </c>
      <c r="O8" s="185">
        <v>1744.5</v>
      </c>
      <c r="P8" s="185">
        <v>159.5</v>
      </c>
      <c r="Q8" s="220">
        <v>16</v>
      </c>
      <c r="R8" s="221">
        <f>VLOOKUP(B8,[2]续建项目!$B:$R,17,FALSE)</f>
        <v>0</v>
      </c>
      <c r="S8" s="185" t="s">
        <v>273</v>
      </c>
      <c r="T8" s="57" t="s">
        <v>63</v>
      </c>
      <c r="U8" s="222"/>
      <c r="V8" s="130">
        <f t="shared" ref="V8:V23" si="2">O8+P8-L8</f>
        <v>0</v>
      </c>
    </row>
    <row r="9" s="143" customFormat="1" ht="46" customHeight="1" spans="1:259">
      <c r="A9" s="140" t="s">
        <v>56</v>
      </c>
      <c r="B9" s="175" t="s">
        <v>1164</v>
      </c>
      <c r="C9" s="57" t="s">
        <v>24</v>
      </c>
      <c r="D9" s="57" t="s">
        <v>140</v>
      </c>
      <c r="E9" s="211" t="s">
        <v>1165</v>
      </c>
      <c r="F9" s="185">
        <v>25587.78</v>
      </c>
      <c r="G9" s="57" t="s">
        <v>105</v>
      </c>
      <c r="H9" s="57" t="s">
        <v>100</v>
      </c>
      <c r="I9" s="57" t="s">
        <v>1166</v>
      </c>
      <c r="J9" s="185">
        <v>15364</v>
      </c>
      <c r="K9" s="185">
        <v>11194</v>
      </c>
      <c r="L9" s="60">
        <f t="shared" si="1"/>
        <v>9741.5</v>
      </c>
      <c r="M9" s="185">
        <v>9741.5</v>
      </c>
      <c r="N9" s="185">
        <v>0</v>
      </c>
      <c r="O9" s="185">
        <v>4406</v>
      </c>
      <c r="P9" s="185">
        <v>5335.5</v>
      </c>
      <c r="Q9" s="220">
        <v>1</v>
      </c>
      <c r="R9" s="221">
        <f>VLOOKUP(B9,[2]续建项目!$B:$R,17,FALSE)</f>
        <v>0</v>
      </c>
      <c r="S9" s="185" t="s">
        <v>273</v>
      </c>
      <c r="T9" s="57" t="s">
        <v>63</v>
      </c>
      <c r="U9" s="222"/>
      <c r="V9" s="130">
        <f t="shared" si="2"/>
        <v>0</v>
      </c>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row>
    <row r="10" s="103" customFormat="1" ht="112" customHeight="1" spans="1:259">
      <c r="A10" s="140" t="s">
        <v>64</v>
      </c>
      <c r="B10" s="72" t="s">
        <v>1167</v>
      </c>
      <c r="C10" s="57" t="s">
        <v>24</v>
      </c>
      <c r="D10" s="72" t="s">
        <v>183</v>
      </c>
      <c r="E10" s="201" t="s">
        <v>1168</v>
      </c>
      <c r="F10" s="60">
        <v>74540</v>
      </c>
      <c r="G10" s="72" t="s">
        <v>105</v>
      </c>
      <c r="H10" s="72" t="s">
        <v>100</v>
      </c>
      <c r="I10" s="72" t="s">
        <v>1169</v>
      </c>
      <c r="J10" s="60">
        <f>12500+18000</f>
        <v>30500</v>
      </c>
      <c r="K10" s="60">
        <f>500+4000+3500</f>
        <v>8000</v>
      </c>
      <c r="L10" s="60">
        <f t="shared" si="1"/>
        <v>9500</v>
      </c>
      <c r="M10" s="60">
        <v>9500</v>
      </c>
      <c r="N10" s="185">
        <v>0</v>
      </c>
      <c r="O10" s="185">
        <v>6400</v>
      </c>
      <c r="P10" s="185">
        <v>3100</v>
      </c>
      <c r="Q10" s="220">
        <v>2</v>
      </c>
      <c r="R10" s="221">
        <f>VLOOKUP(B10,[2]续建项目!$B:$R,17,FALSE)</f>
        <v>0</v>
      </c>
      <c r="S10" s="185" t="s">
        <v>62</v>
      </c>
      <c r="T10" s="57" t="s">
        <v>63</v>
      </c>
      <c r="U10" s="222"/>
      <c r="V10" s="130">
        <f t="shared" si="2"/>
        <v>0</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row>
    <row r="11" s="206" customFormat="1" ht="63" customHeight="1" spans="1:259">
      <c r="A11" s="140" t="s">
        <v>70</v>
      </c>
      <c r="B11" s="72" t="s">
        <v>1170</v>
      </c>
      <c r="C11" s="57" t="s">
        <v>24</v>
      </c>
      <c r="D11" s="72" t="s">
        <v>183</v>
      </c>
      <c r="E11" s="201" t="s">
        <v>1171</v>
      </c>
      <c r="F11" s="60">
        <v>11700</v>
      </c>
      <c r="G11" s="72" t="s">
        <v>105</v>
      </c>
      <c r="H11" s="72" t="s">
        <v>100</v>
      </c>
      <c r="I11" s="72" t="s">
        <v>1172</v>
      </c>
      <c r="J11" s="60">
        <v>5000</v>
      </c>
      <c r="K11" s="60">
        <v>2400</v>
      </c>
      <c r="L11" s="60">
        <f t="shared" si="1"/>
        <v>2520</v>
      </c>
      <c r="M11" s="60">
        <v>2520</v>
      </c>
      <c r="N11" s="185">
        <v>0</v>
      </c>
      <c r="O11" s="185">
        <v>1320</v>
      </c>
      <c r="P11" s="185">
        <v>1200</v>
      </c>
      <c r="Q11" s="220">
        <v>3</v>
      </c>
      <c r="R11" s="221">
        <f>VLOOKUP(B11,[2]续建项目!$B:$R,17,FALSE)</f>
        <v>0</v>
      </c>
      <c r="S11" s="185" t="s">
        <v>62</v>
      </c>
      <c r="T11" s="57" t="s">
        <v>63</v>
      </c>
      <c r="U11" s="222"/>
      <c r="V11" s="130">
        <f t="shared" si="2"/>
        <v>0</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row>
    <row r="12" s="206" customFormat="1" ht="54" customHeight="1" spans="1:259">
      <c r="A12" s="140" t="s">
        <v>75</v>
      </c>
      <c r="B12" s="58" t="s">
        <v>1173</v>
      </c>
      <c r="C12" s="57" t="s">
        <v>24</v>
      </c>
      <c r="D12" s="58" t="s">
        <v>209</v>
      </c>
      <c r="E12" s="71" t="s">
        <v>1174</v>
      </c>
      <c r="F12" s="89">
        <v>4499.17</v>
      </c>
      <c r="G12" s="212" t="s">
        <v>1175</v>
      </c>
      <c r="H12" s="212" t="s">
        <v>100</v>
      </c>
      <c r="I12" s="212" t="s">
        <v>1176</v>
      </c>
      <c r="J12" s="89">
        <v>4499.17</v>
      </c>
      <c r="K12" s="89">
        <v>1020</v>
      </c>
      <c r="L12" s="60">
        <f t="shared" si="1"/>
        <v>2500</v>
      </c>
      <c r="M12" s="89">
        <v>2500</v>
      </c>
      <c r="N12" s="89">
        <v>0</v>
      </c>
      <c r="O12" s="185">
        <v>600</v>
      </c>
      <c r="P12" s="185">
        <v>250</v>
      </c>
      <c r="Q12" s="220">
        <v>4</v>
      </c>
      <c r="R12" s="221">
        <f>VLOOKUP(B12,[2]续建项目!$B:$R,17,FALSE)</f>
        <v>700</v>
      </c>
      <c r="S12" s="89" t="s">
        <v>62</v>
      </c>
      <c r="T12" s="57" t="s">
        <v>63</v>
      </c>
      <c r="U12" s="222"/>
      <c r="V12" s="130">
        <f t="shared" si="2"/>
        <v>-1650</v>
      </c>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row>
    <row r="13" s="143" customFormat="1" ht="185" customHeight="1" spans="1:259">
      <c r="A13" s="140" t="s">
        <v>80</v>
      </c>
      <c r="B13" s="73" t="s">
        <v>1177</v>
      </c>
      <c r="C13" s="57" t="s">
        <v>24</v>
      </c>
      <c r="D13" s="73" t="s">
        <v>304</v>
      </c>
      <c r="E13" s="75" t="s">
        <v>1178</v>
      </c>
      <c r="F13" s="185">
        <v>25700</v>
      </c>
      <c r="G13" s="73" t="s">
        <v>1179</v>
      </c>
      <c r="H13" s="73" t="s">
        <v>100</v>
      </c>
      <c r="I13" s="73" t="s">
        <v>1180</v>
      </c>
      <c r="J13" s="185">
        <v>17000</v>
      </c>
      <c r="K13" s="185">
        <v>10000</v>
      </c>
      <c r="L13" s="60">
        <f t="shared" si="1"/>
        <v>8000</v>
      </c>
      <c r="M13" s="185">
        <v>8000</v>
      </c>
      <c r="N13" s="185">
        <v>0</v>
      </c>
      <c r="O13" s="185">
        <v>5000</v>
      </c>
      <c r="P13" s="185">
        <v>3000</v>
      </c>
      <c r="Q13" s="220">
        <v>5</v>
      </c>
      <c r="R13" s="221">
        <f>VLOOKUP(B13,[2]续建项目!$B:$R,17,FALSE)</f>
        <v>0</v>
      </c>
      <c r="S13" s="185" t="s">
        <v>62</v>
      </c>
      <c r="T13" s="57" t="s">
        <v>63</v>
      </c>
      <c r="U13" s="222"/>
      <c r="V13" s="130">
        <f t="shared" si="2"/>
        <v>0</v>
      </c>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row>
    <row r="14" s="143" customFormat="1" ht="99" customHeight="1" spans="1:259">
      <c r="A14" s="140" t="s">
        <v>84</v>
      </c>
      <c r="B14" s="73" t="s">
        <v>1181</v>
      </c>
      <c r="C14" s="57" t="s">
        <v>24</v>
      </c>
      <c r="D14" s="73" t="s">
        <v>304</v>
      </c>
      <c r="E14" s="75" t="s">
        <v>1182</v>
      </c>
      <c r="F14" s="185">
        <v>46450</v>
      </c>
      <c r="G14" s="73" t="s">
        <v>1179</v>
      </c>
      <c r="H14" s="73" t="s">
        <v>100</v>
      </c>
      <c r="I14" s="73" t="s">
        <v>1183</v>
      </c>
      <c r="J14" s="185">
        <v>11000</v>
      </c>
      <c r="K14" s="185">
        <v>9000</v>
      </c>
      <c r="L14" s="60">
        <f t="shared" si="1"/>
        <v>7200</v>
      </c>
      <c r="M14" s="185">
        <v>7200</v>
      </c>
      <c r="N14" s="185">
        <v>0</v>
      </c>
      <c r="O14" s="185">
        <v>3000</v>
      </c>
      <c r="P14" s="185">
        <v>4200</v>
      </c>
      <c r="Q14" s="220">
        <v>6</v>
      </c>
      <c r="R14" s="221">
        <f>VLOOKUP(B14,[2]续建项目!$B:$R,17,FALSE)</f>
        <v>0</v>
      </c>
      <c r="S14" s="185" t="s">
        <v>62</v>
      </c>
      <c r="T14" s="57" t="s">
        <v>63</v>
      </c>
      <c r="U14" s="222"/>
      <c r="V14" s="130">
        <f t="shared" si="2"/>
        <v>0</v>
      </c>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row>
    <row r="15" s="143" customFormat="1" ht="100" customHeight="1" spans="1:259">
      <c r="A15" s="140" t="s">
        <v>90</v>
      </c>
      <c r="B15" s="72" t="s">
        <v>1184</v>
      </c>
      <c r="C15" s="72" t="s">
        <v>24</v>
      </c>
      <c r="D15" s="72" t="s">
        <v>110</v>
      </c>
      <c r="E15" s="201" t="s">
        <v>1185</v>
      </c>
      <c r="F15" s="60">
        <v>62380.17</v>
      </c>
      <c r="G15" s="60" t="s">
        <v>929</v>
      </c>
      <c r="H15" s="72" t="s">
        <v>100</v>
      </c>
      <c r="I15" s="72" t="s">
        <v>1186</v>
      </c>
      <c r="J15" s="60">
        <v>62380.17</v>
      </c>
      <c r="K15" s="60">
        <v>5000</v>
      </c>
      <c r="L15" s="60">
        <v>4000</v>
      </c>
      <c r="M15" s="60">
        <v>4000</v>
      </c>
      <c r="N15" s="60">
        <v>0</v>
      </c>
      <c r="O15" s="185">
        <v>2000</v>
      </c>
      <c r="P15" s="185">
        <v>2000</v>
      </c>
      <c r="Q15" s="220">
        <v>7</v>
      </c>
      <c r="R15" s="221">
        <f>VLOOKUP(B15,[2]续建项目!$B:$R,17,FALSE)</f>
        <v>0</v>
      </c>
      <c r="S15" s="219" t="s">
        <v>273</v>
      </c>
      <c r="T15" s="57" t="s">
        <v>63</v>
      </c>
      <c r="U15" s="154"/>
      <c r="V15" s="130">
        <f t="shared" si="2"/>
        <v>0</v>
      </c>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row>
    <row r="16" s="143" customFormat="1" ht="58" customHeight="1" spans="1:259">
      <c r="A16" s="140" t="s">
        <v>96</v>
      </c>
      <c r="B16" s="175" t="s">
        <v>1187</v>
      </c>
      <c r="C16" s="57" t="s">
        <v>24</v>
      </c>
      <c r="D16" s="57" t="s">
        <v>140</v>
      </c>
      <c r="E16" s="211" t="s">
        <v>1188</v>
      </c>
      <c r="F16" s="185">
        <v>7013.32</v>
      </c>
      <c r="G16" s="57" t="s">
        <v>105</v>
      </c>
      <c r="H16" s="57" t="s">
        <v>100</v>
      </c>
      <c r="I16" s="57" t="s">
        <v>1189</v>
      </c>
      <c r="J16" s="185">
        <v>2131.49</v>
      </c>
      <c r="K16" s="185">
        <v>140</v>
      </c>
      <c r="L16" s="60">
        <f>M16+N16</f>
        <v>20</v>
      </c>
      <c r="M16" s="185">
        <v>20</v>
      </c>
      <c r="N16" s="185">
        <v>0</v>
      </c>
      <c r="O16" s="185">
        <v>10</v>
      </c>
      <c r="P16" s="185">
        <v>10</v>
      </c>
      <c r="Q16" s="220">
        <v>8</v>
      </c>
      <c r="R16" s="221">
        <f>VLOOKUP(B16,[2]续建项目!$B:$R,17,FALSE)</f>
        <v>0</v>
      </c>
      <c r="S16" s="185" t="s">
        <v>62</v>
      </c>
      <c r="T16" s="57" t="s">
        <v>63</v>
      </c>
      <c r="U16" s="222"/>
      <c r="V16" s="130">
        <f t="shared" si="2"/>
        <v>0</v>
      </c>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row>
    <row r="17" s="143" customFormat="1" ht="98" customHeight="1" spans="1:259">
      <c r="A17" s="140" t="s">
        <v>102</v>
      </c>
      <c r="B17" s="73" t="s">
        <v>1190</v>
      </c>
      <c r="C17" s="57" t="s">
        <v>24</v>
      </c>
      <c r="D17" s="58" t="s">
        <v>1191</v>
      </c>
      <c r="E17" s="71" t="s">
        <v>1192</v>
      </c>
      <c r="F17" s="185">
        <v>8388.14</v>
      </c>
      <c r="G17" s="73" t="s">
        <v>364</v>
      </c>
      <c r="H17" s="73" t="s">
        <v>100</v>
      </c>
      <c r="I17" s="73" t="s">
        <v>1193</v>
      </c>
      <c r="J17" s="185">
        <v>6500</v>
      </c>
      <c r="K17" s="185">
        <v>4000</v>
      </c>
      <c r="L17" s="60">
        <v>3200</v>
      </c>
      <c r="M17" s="185">
        <v>3200</v>
      </c>
      <c r="N17" s="185">
        <v>0</v>
      </c>
      <c r="O17" s="185">
        <v>1200</v>
      </c>
      <c r="P17" s="185">
        <v>2000</v>
      </c>
      <c r="Q17" s="220">
        <v>9</v>
      </c>
      <c r="R17" s="221">
        <f>VLOOKUP(B17,[2]续建项目!$B:$R,17,FALSE)</f>
        <v>0</v>
      </c>
      <c r="S17" s="185" t="s">
        <v>62</v>
      </c>
      <c r="T17" s="57" t="s">
        <v>63</v>
      </c>
      <c r="U17" s="222"/>
      <c r="V17" s="130">
        <f t="shared" si="2"/>
        <v>0</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row>
    <row r="18" s="21" customFormat="1" ht="98" customHeight="1" spans="1:22">
      <c r="A18" s="140" t="s">
        <v>108</v>
      </c>
      <c r="B18" s="58" t="s">
        <v>1194</v>
      </c>
      <c r="C18" s="57" t="s">
        <v>24</v>
      </c>
      <c r="D18" s="72" t="s">
        <v>58</v>
      </c>
      <c r="E18" s="75" t="s">
        <v>1195</v>
      </c>
      <c r="F18" s="185">
        <v>14265</v>
      </c>
      <c r="G18" s="73" t="s">
        <v>105</v>
      </c>
      <c r="H18" s="57" t="s">
        <v>100</v>
      </c>
      <c r="I18" s="73" t="s">
        <v>1196</v>
      </c>
      <c r="J18" s="185">
        <v>14265</v>
      </c>
      <c r="K18" s="185">
        <v>3500</v>
      </c>
      <c r="L18" s="60">
        <f t="shared" ref="L18:L27" si="3">M18+N18</f>
        <v>3400</v>
      </c>
      <c r="M18" s="185">
        <v>3400</v>
      </c>
      <c r="N18" s="185">
        <v>0</v>
      </c>
      <c r="O18" s="185">
        <v>3400</v>
      </c>
      <c r="P18" s="185">
        <v>0</v>
      </c>
      <c r="Q18" s="220">
        <v>10</v>
      </c>
      <c r="R18" s="221">
        <f>VLOOKUP(B18,[2]续建项目!$B:$R,17,FALSE)</f>
        <v>0</v>
      </c>
      <c r="S18" s="185" t="s">
        <v>62</v>
      </c>
      <c r="T18" s="57" t="s">
        <v>63</v>
      </c>
      <c r="U18" s="222"/>
      <c r="V18" s="130">
        <f t="shared" si="2"/>
        <v>0</v>
      </c>
    </row>
    <row r="19" s="21" customFormat="1" ht="113" customHeight="1" spans="1:22">
      <c r="A19" s="140" t="s">
        <v>114</v>
      </c>
      <c r="B19" s="58" t="s">
        <v>1197</v>
      </c>
      <c r="C19" s="57" t="s">
        <v>24</v>
      </c>
      <c r="D19" s="72" t="s">
        <v>58</v>
      </c>
      <c r="E19" s="75" t="s">
        <v>1198</v>
      </c>
      <c r="F19" s="185">
        <v>8438.77</v>
      </c>
      <c r="G19" s="89" t="s">
        <v>105</v>
      </c>
      <c r="H19" s="57" t="s">
        <v>100</v>
      </c>
      <c r="I19" s="58" t="s">
        <v>1199</v>
      </c>
      <c r="J19" s="185">
        <v>8438.77</v>
      </c>
      <c r="K19" s="185">
        <v>4000</v>
      </c>
      <c r="L19" s="60">
        <f t="shared" si="3"/>
        <v>4600</v>
      </c>
      <c r="M19" s="185">
        <v>4600</v>
      </c>
      <c r="N19" s="185">
        <v>0</v>
      </c>
      <c r="O19" s="185">
        <v>2700</v>
      </c>
      <c r="P19" s="185">
        <v>1900</v>
      </c>
      <c r="Q19" s="220">
        <v>11</v>
      </c>
      <c r="R19" s="221">
        <f>VLOOKUP(B19,[2]续建项目!$B:$R,17,FALSE)</f>
        <v>0</v>
      </c>
      <c r="S19" s="185" t="s">
        <v>62</v>
      </c>
      <c r="T19" s="57" t="s">
        <v>63</v>
      </c>
      <c r="U19" s="222"/>
      <c r="V19" s="130">
        <f t="shared" si="2"/>
        <v>0</v>
      </c>
    </row>
    <row r="20" s="21" customFormat="1" ht="91" customHeight="1" spans="1:22">
      <c r="A20" s="140" t="s">
        <v>119</v>
      </c>
      <c r="B20" s="72" t="s">
        <v>1200</v>
      </c>
      <c r="C20" s="57" t="s">
        <v>24</v>
      </c>
      <c r="D20" s="72" t="s">
        <v>183</v>
      </c>
      <c r="E20" s="201" t="s">
        <v>1201</v>
      </c>
      <c r="F20" s="60">
        <v>25873</v>
      </c>
      <c r="G20" s="72" t="s">
        <v>105</v>
      </c>
      <c r="H20" s="72" t="s">
        <v>100</v>
      </c>
      <c r="I20" s="72" t="s">
        <v>1202</v>
      </c>
      <c r="J20" s="60">
        <v>6000</v>
      </c>
      <c r="K20" s="60">
        <f>500+1200</f>
        <v>1700</v>
      </c>
      <c r="L20" s="60">
        <f t="shared" si="3"/>
        <v>1800</v>
      </c>
      <c r="M20" s="60">
        <v>1800</v>
      </c>
      <c r="N20" s="185">
        <v>0</v>
      </c>
      <c r="O20" s="185">
        <v>1200</v>
      </c>
      <c r="P20" s="185">
        <v>600</v>
      </c>
      <c r="Q20" s="220">
        <v>12</v>
      </c>
      <c r="R20" s="221">
        <f>VLOOKUP(B20,[2]续建项目!$B:$R,17,FALSE)</f>
        <v>0</v>
      </c>
      <c r="S20" s="185" t="s">
        <v>62</v>
      </c>
      <c r="T20" s="57" t="s">
        <v>63</v>
      </c>
      <c r="U20" s="222"/>
      <c r="V20" s="130">
        <f t="shared" si="2"/>
        <v>0</v>
      </c>
    </row>
    <row r="21" s="21" customFormat="1" ht="112" customHeight="1" spans="1:22">
      <c r="A21" s="140" t="s">
        <v>124</v>
      </c>
      <c r="B21" s="58" t="s">
        <v>1203</v>
      </c>
      <c r="C21" s="57" t="s">
        <v>24</v>
      </c>
      <c r="D21" s="58" t="s">
        <v>209</v>
      </c>
      <c r="E21" s="71" t="s">
        <v>1204</v>
      </c>
      <c r="F21" s="89">
        <v>1315.88</v>
      </c>
      <c r="G21" s="58" t="s">
        <v>105</v>
      </c>
      <c r="H21" s="65" t="s">
        <v>100</v>
      </c>
      <c r="I21" s="58" t="s">
        <v>1205</v>
      </c>
      <c r="J21" s="89">
        <v>1315.88</v>
      </c>
      <c r="K21" s="89">
        <v>1250</v>
      </c>
      <c r="L21" s="60">
        <f t="shared" si="3"/>
        <v>1200</v>
      </c>
      <c r="M21" s="89">
        <v>1200</v>
      </c>
      <c r="N21" s="89">
        <v>0</v>
      </c>
      <c r="O21" s="185">
        <v>1000</v>
      </c>
      <c r="P21" s="185">
        <v>200</v>
      </c>
      <c r="Q21" s="220">
        <v>13</v>
      </c>
      <c r="R21" s="221">
        <f>VLOOKUP(B21,[2]续建项目!$B:$R,17,FALSE)</f>
        <v>0</v>
      </c>
      <c r="S21" s="89" t="s">
        <v>62</v>
      </c>
      <c r="T21" s="57" t="s">
        <v>63</v>
      </c>
      <c r="U21" s="223" t="s">
        <v>1206</v>
      </c>
      <c r="V21" s="130">
        <f t="shared" si="2"/>
        <v>0</v>
      </c>
    </row>
    <row r="22" s="21" customFormat="1" ht="54" customHeight="1" spans="1:22">
      <c r="A22" s="140" t="s">
        <v>129</v>
      </c>
      <c r="B22" s="62" t="s">
        <v>1207</v>
      </c>
      <c r="C22" s="57" t="s">
        <v>24</v>
      </c>
      <c r="D22" s="213" t="s">
        <v>140</v>
      </c>
      <c r="E22" s="214" t="s">
        <v>1208</v>
      </c>
      <c r="F22" s="85">
        <v>6111.69</v>
      </c>
      <c r="G22" s="213" t="s">
        <v>105</v>
      </c>
      <c r="H22" s="65" t="s">
        <v>100</v>
      </c>
      <c r="I22" s="213" t="s">
        <v>1209</v>
      </c>
      <c r="J22" s="185">
        <v>5721.32</v>
      </c>
      <c r="K22" s="185">
        <v>4336</v>
      </c>
      <c r="L22" s="60">
        <f t="shared" si="3"/>
        <v>3547</v>
      </c>
      <c r="M22" s="185">
        <v>3547</v>
      </c>
      <c r="N22" s="185">
        <v>0</v>
      </c>
      <c r="O22" s="185">
        <v>3039</v>
      </c>
      <c r="P22" s="185">
        <v>508</v>
      </c>
      <c r="Q22" s="220">
        <v>14</v>
      </c>
      <c r="R22" s="221">
        <f>VLOOKUP(B22,[2]续建项目!$B:$R,17,FALSE)</f>
        <v>2000</v>
      </c>
      <c r="S22" s="185" t="s">
        <v>62</v>
      </c>
      <c r="T22" s="57" t="s">
        <v>63</v>
      </c>
      <c r="U22" s="222"/>
      <c r="V22" s="130">
        <f t="shared" si="2"/>
        <v>0</v>
      </c>
    </row>
    <row r="23" s="21" customFormat="1" ht="146" customHeight="1" spans="1:22">
      <c r="A23" s="140" t="s">
        <v>133</v>
      </c>
      <c r="B23" s="175" t="s">
        <v>1210</v>
      </c>
      <c r="C23" s="57" t="s">
        <v>24</v>
      </c>
      <c r="D23" s="57" t="s">
        <v>140</v>
      </c>
      <c r="E23" s="211" t="s">
        <v>1211</v>
      </c>
      <c r="F23" s="185">
        <v>10066.24</v>
      </c>
      <c r="G23" s="57" t="s">
        <v>105</v>
      </c>
      <c r="H23" s="57" t="s">
        <v>100</v>
      </c>
      <c r="I23" s="57" t="s">
        <v>1212</v>
      </c>
      <c r="J23" s="185">
        <v>10022.98</v>
      </c>
      <c r="K23" s="185">
        <v>2800</v>
      </c>
      <c r="L23" s="60">
        <f t="shared" si="3"/>
        <v>1771</v>
      </c>
      <c r="M23" s="185">
        <v>1771</v>
      </c>
      <c r="N23" s="185">
        <v>0</v>
      </c>
      <c r="O23" s="185">
        <v>1738</v>
      </c>
      <c r="P23" s="185">
        <v>33</v>
      </c>
      <c r="Q23" s="220">
        <v>15</v>
      </c>
      <c r="R23" s="221">
        <f>VLOOKUP(B23,[2]续建项目!$B:$R,17,FALSE)</f>
        <v>0</v>
      </c>
      <c r="S23" s="185" t="s">
        <v>62</v>
      </c>
      <c r="T23" s="57" t="s">
        <v>63</v>
      </c>
      <c r="U23" s="222"/>
      <c r="V23" s="130">
        <f t="shared" si="2"/>
        <v>0</v>
      </c>
    </row>
    <row r="24" s="21" customFormat="1" ht="184" customHeight="1" spans="1:22">
      <c r="A24" s="140" t="s">
        <v>138</v>
      </c>
      <c r="B24" s="57" t="s">
        <v>1213</v>
      </c>
      <c r="C24" s="57" t="s">
        <v>24</v>
      </c>
      <c r="D24" s="72" t="s">
        <v>58</v>
      </c>
      <c r="E24" s="59" t="s">
        <v>1214</v>
      </c>
      <c r="F24" s="185">
        <v>2376.09</v>
      </c>
      <c r="G24" s="57" t="s">
        <v>364</v>
      </c>
      <c r="H24" s="57" t="s">
        <v>100</v>
      </c>
      <c r="I24" s="57" t="s">
        <v>1215</v>
      </c>
      <c r="J24" s="185">
        <v>2376.09</v>
      </c>
      <c r="K24" s="185">
        <v>1250</v>
      </c>
      <c r="L24" s="60">
        <f t="shared" si="3"/>
        <v>1000</v>
      </c>
      <c r="M24" s="185">
        <v>1000</v>
      </c>
      <c r="N24" s="185">
        <v>0</v>
      </c>
      <c r="O24" s="185">
        <v>970</v>
      </c>
      <c r="P24" s="185">
        <v>30</v>
      </c>
      <c r="Q24" s="220">
        <v>17</v>
      </c>
      <c r="R24" s="221">
        <f>VLOOKUP(B24,[2]续建项目!$B:$R,17,FALSE)</f>
        <v>0</v>
      </c>
      <c r="S24" s="185" t="s">
        <v>107</v>
      </c>
      <c r="T24" s="57" t="s">
        <v>63</v>
      </c>
      <c r="U24" s="222"/>
      <c r="V24" s="130">
        <f t="shared" ref="V24:V43" si="4">O24+P24-L24</f>
        <v>0</v>
      </c>
    </row>
    <row r="25" s="21" customFormat="1" ht="51" customHeight="1" spans="1:22">
      <c r="A25" s="140" t="s">
        <v>143</v>
      </c>
      <c r="B25" s="175" t="s">
        <v>1216</v>
      </c>
      <c r="C25" s="57" t="s">
        <v>24</v>
      </c>
      <c r="D25" s="57" t="s">
        <v>140</v>
      </c>
      <c r="E25" s="211" t="s">
        <v>1217</v>
      </c>
      <c r="F25" s="185">
        <f>9509.78+103</f>
        <v>9612.78</v>
      </c>
      <c r="G25" s="57" t="s">
        <v>105</v>
      </c>
      <c r="H25" s="57" t="s">
        <v>100</v>
      </c>
      <c r="I25" s="57" t="s">
        <v>1218</v>
      </c>
      <c r="J25" s="185">
        <v>9578</v>
      </c>
      <c r="K25" s="185">
        <v>1760</v>
      </c>
      <c r="L25" s="60">
        <f t="shared" si="3"/>
        <v>712</v>
      </c>
      <c r="M25" s="185">
        <v>712</v>
      </c>
      <c r="N25" s="185">
        <v>0</v>
      </c>
      <c r="O25" s="185">
        <v>679</v>
      </c>
      <c r="P25" s="185">
        <v>33</v>
      </c>
      <c r="Q25" s="220">
        <v>18</v>
      </c>
      <c r="R25" s="221">
        <f>VLOOKUP(B25,[2]续建项目!$B:$R,17,FALSE)</f>
        <v>0</v>
      </c>
      <c r="S25" s="185" t="s">
        <v>62</v>
      </c>
      <c r="T25" s="57" t="s">
        <v>63</v>
      </c>
      <c r="U25" s="222"/>
      <c r="V25" s="130">
        <f t="shared" si="4"/>
        <v>0</v>
      </c>
    </row>
    <row r="26" s="21" customFormat="1" ht="41" customHeight="1" spans="1:22">
      <c r="A26" s="140" t="s">
        <v>149</v>
      </c>
      <c r="B26" s="58" t="s">
        <v>1219</v>
      </c>
      <c r="C26" s="57" t="s">
        <v>24</v>
      </c>
      <c r="D26" s="72" t="s">
        <v>58</v>
      </c>
      <c r="E26" s="71" t="s">
        <v>1220</v>
      </c>
      <c r="F26" s="89">
        <v>1268.36</v>
      </c>
      <c r="G26" s="89" t="s">
        <v>105</v>
      </c>
      <c r="H26" s="57" t="s">
        <v>100</v>
      </c>
      <c r="I26" s="89" t="s">
        <v>1221</v>
      </c>
      <c r="J26" s="89">
        <v>1268.36</v>
      </c>
      <c r="K26" s="185">
        <v>50</v>
      </c>
      <c r="L26" s="60">
        <f t="shared" si="3"/>
        <v>300</v>
      </c>
      <c r="M26" s="185">
        <v>300</v>
      </c>
      <c r="N26" s="185">
        <v>0</v>
      </c>
      <c r="O26" s="185">
        <v>100</v>
      </c>
      <c r="P26" s="185">
        <v>200</v>
      </c>
      <c r="Q26" s="220">
        <v>19</v>
      </c>
      <c r="R26" s="221">
        <f>VLOOKUP(B26,[2]续建项目!$B:$R,17,FALSE)</f>
        <v>0</v>
      </c>
      <c r="S26" s="216" t="s">
        <v>62</v>
      </c>
      <c r="T26" s="57" t="s">
        <v>1222</v>
      </c>
      <c r="U26" s="222"/>
      <c r="V26" s="130">
        <f t="shared" si="4"/>
        <v>0</v>
      </c>
    </row>
    <row r="27" s="21" customFormat="1" ht="144" customHeight="1" spans="1:22">
      <c r="A27" s="140" t="s">
        <v>153</v>
      </c>
      <c r="B27" s="72" t="s">
        <v>1223</v>
      </c>
      <c r="C27" s="72" t="s">
        <v>24</v>
      </c>
      <c r="D27" s="72" t="s">
        <v>110</v>
      </c>
      <c r="E27" s="201" t="s">
        <v>1224</v>
      </c>
      <c r="F27" s="60">
        <v>17466.62</v>
      </c>
      <c r="G27" s="60" t="s">
        <v>925</v>
      </c>
      <c r="H27" s="72" t="s">
        <v>100</v>
      </c>
      <c r="I27" s="72" t="s">
        <v>1225</v>
      </c>
      <c r="J27" s="60">
        <v>17466.62</v>
      </c>
      <c r="K27" s="60">
        <v>800</v>
      </c>
      <c r="L27" s="60">
        <v>600</v>
      </c>
      <c r="M27" s="60">
        <v>600</v>
      </c>
      <c r="N27" s="60">
        <v>0</v>
      </c>
      <c r="O27" s="185">
        <v>500</v>
      </c>
      <c r="P27" s="185">
        <v>100</v>
      </c>
      <c r="Q27" s="220">
        <v>20</v>
      </c>
      <c r="R27" s="221">
        <f>VLOOKUP(B27,[2]续建项目!$B:$R,17,FALSE)</f>
        <v>0</v>
      </c>
      <c r="S27" s="219" t="s">
        <v>62</v>
      </c>
      <c r="T27" s="57" t="s">
        <v>63</v>
      </c>
      <c r="U27" s="154"/>
      <c r="V27" s="130">
        <f t="shared" si="4"/>
        <v>0</v>
      </c>
    </row>
    <row r="28" s="21" customFormat="1" ht="185" customHeight="1" spans="1:22">
      <c r="A28" s="140" t="s">
        <v>158</v>
      </c>
      <c r="B28" s="58" t="s">
        <v>1226</v>
      </c>
      <c r="C28" s="57" t="s">
        <v>24</v>
      </c>
      <c r="D28" s="72" t="s">
        <v>58</v>
      </c>
      <c r="E28" s="75" t="s">
        <v>1227</v>
      </c>
      <c r="F28" s="89">
        <v>3839.58</v>
      </c>
      <c r="G28" s="58" t="s">
        <v>105</v>
      </c>
      <c r="H28" s="58" t="s">
        <v>100</v>
      </c>
      <c r="I28" s="58" t="s">
        <v>1228</v>
      </c>
      <c r="J28" s="89">
        <f>F28-K28</f>
        <v>3789.58</v>
      </c>
      <c r="K28" s="185">
        <v>50</v>
      </c>
      <c r="L28" s="60">
        <f>M28+N28</f>
        <v>1100</v>
      </c>
      <c r="M28" s="185">
        <v>1100</v>
      </c>
      <c r="N28" s="185">
        <v>0</v>
      </c>
      <c r="O28" s="185">
        <v>100</v>
      </c>
      <c r="P28" s="185">
        <v>1000</v>
      </c>
      <c r="Q28" s="220">
        <v>21</v>
      </c>
      <c r="R28" s="221">
        <f>VLOOKUP(B28,[2]续建项目!$B:$R,17,FALSE)</f>
        <v>0</v>
      </c>
      <c r="S28" s="216" t="s">
        <v>62</v>
      </c>
      <c r="T28" s="57" t="s">
        <v>1222</v>
      </c>
      <c r="U28" s="222"/>
      <c r="V28" s="130">
        <f t="shared" si="4"/>
        <v>0</v>
      </c>
    </row>
    <row r="29" s="21" customFormat="1" ht="110" customHeight="1" spans="1:22">
      <c r="A29" s="140" t="s">
        <v>163</v>
      </c>
      <c r="B29" s="175" t="s">
        <v>1229</v>
      </c>
      <c r="C29" s="57" t="s">
        <v>24</v>
      </c>
      <c r="D29" s="57" t="s">
        <v>140</v>
      </c>
      <c r="E29" s="211" t="s">
        <v>1230</v>
      </c>
      <c r="F29" s="185">
        <v>13468.29</v>
      </c>
      <c r="G29" s="57" t="s">
        <v>105</v>
      </c>
      <c r="H29" s="57" t="s">
        <v>100</v>
      </c>
      <c r="I29" s="57" t="s">
        <v>1231</v>
      </c>
      <c r="J29" s="185">
        <v>13468.29</v>
      </c>
      <c r="K29" s="185">
        <v>1215</v>
      </c>
      <c r="L29" s="60">
        <f>M29+N29</f>
        <v>1209</v>
      </c>
      <c r="M29" s="185">
        <v>1209</v>
      </c>
      <c r="N29" s="185">
        <v>0</v>
      </c>
      <c r="O29" s="185">
        <v>1163.5</v>
      </c>
      <c r="P29" s="185">
        <v>45.5</v>
      </c>
      <c r="Q29" s="220">
        <v>22</v>
      </c>
      <c r="R29" s="221">
        <f>VLOOKUP(B29,[2]续建项目!$B:$R,17,FALSE)</f>
        <v>0</v>
      </c>
      <c r="S29" s="216" t="s">
        <v>62</v>
      </c>
      <c r="T29" s="57" t="s">
        <v>63</v>
      </c>
      <c r="U29" s="222"/>
      <c r="V29" s="130">
        <f t="shared" si="4"/>
        <v>0</v>
      </c>
    </row>
    <row r="30" s="21" customFormat="1" ht="82" customHeight="1" spans="1:22">
      <c r="A30" s="140" t="s">
        <v>168</v>
      </c>
      <c r="B30" s="72" t="s">
        <v>1232</v>
      </c>
      <c r="C30" s="72" t="s">
        <v>24</v>
      </c>
      <c r="D30" s="72" t="s">
        <v>110</v>
      </c>
      <c r="E30" s="201" t="s">
        <v>1233</v>
      </c>
      <c r="F30" s="60">
        <v>52647.13</v>
      </c>
      <c r="G30" s="60" t="s">
        <v>105</v>
      </c>
      <c r="H30" s="72" t="s">
        <v>100</v>
      </c>
      <c r="I30" s="72" t="s">
        <v>1234</v>
      </c>
      <c r="J30" s="60">
        <v>42000</v>
      </c>
      <c r="K30" s="60">
        <v>5000</v>
      </c>
      <c r="L30" s="60">
        <v>10000</v>
      </c>
      <c r="M30" s="60">
        <v>10000</v>
      </c>
      <c r="N30" s="60">
        <v>0</v>
      </c>
      <c r="O30" s="185">
        <v>3000</v>
      </c>
      <c r="P30" s="185">
        <v>7000</v>
      </c>
      <c r="Q30" s="220">
        <v>23</v>
      </c>
      <c r="R30" s="221">
        <f>VLOOKUP(B30,[2]续建项目!$B:$R,17,FALSE)</f>
        <v>0</v>
      </c>
      <c r="S30" s="224" t="s">
        <v>62</v>
      </c>
      <c r="T30" s="57" t="s">
        <v>1222</v>
      </c>
      <c r="U30" s="154"/>
      <c r="V30" s="130">
        <f t="shared" si="4"/>
        <v>0</v>
      </c>
    </row>
    <row r="31" s="21" customFormat="1" ht="72" customHeight="1" spans="1:22">
      <c r="A31" s="140" t="s">
        <v>172</v>
      </c>
      <c r="B31" s="57" t="s">
        <v>1235</v>
      </c>
      <c r="C31" s="57" t="s">
        <v>24</v>
      </c>
      <c r="D31" s="57" t="s">
        <v>66</v>
      </c>
      <c r="E31" s="59" t="s">
        <v>1236</v>
      </c>
      <c r="F31" s="185">
        <v>16002</v>
      </c>
      <c r="G31" s="57" t="s">
        <v>1237</v>
      </c>
      <c r="H31" s="57" t="s">
        <v>100</v>
      </c>
      <c r="I31" s="57" t="s">
        <v>1238</v>
      </c>
      <c r="J31" s="185">
        <v>8000</v>
      </c>
      <c r="K31" s="185">
        <v>6250</v>
      </c>
      <c r="L31" s="60">
        <v>5000</v>
      </c>
      <c r="M31" s="185">
        <v>5000</v>
      </c>
      <c r="N31" s="185">
        <v>0</v>
      </c>
      <c r="O31" s="185">
        <v>2520</v>
      </c>
      <c r="P31" s="185">
        <v>2480</v>
      </c>
      <c r="Q31" s="220">
        <v>24</v>
      </c>
      <c r="R31" s="221">
        <f>VLOOKUP(B31,[2]续建项目!$B:$R,17,FALSE)</f>
        <v>0</v>
      </c>
      <c r="S31" s="225" t="s">
        <v>62</v>
      </c>
      <c r="T31" s="57" t="s">
        <v>63</v>
      </c>
      <c r="U31" s="223" t="s">
        <v>1239</v>
      </c>
      <c r="V31" s="130">
        <f t="shared" si="4"/>
        <v>0</v>
      </c>
    </row>
    <row r="32" s="21" customFormat="1" ht="127" customHeight="1" spans="1:259">
      <c r="A32" s="140" t="s">
        <v>176</v>
      </c>
      <c r="B32" s="186" t="s">
        <v>1240</v>
      </c>
      <c r="C32" s="72" t="s">
        <v>26</v>
      </c>
      <c r="D32" s="72" t="s">
        <v>58</v>
      </c>
      <c r="E32" s="215" t="s">
        <v>1241</v>
      </c>
      <c r="F32" s="216">
        <v>21559.66</v>
      </c>
      <c r="G32" s="186" t="s">
        <v>105</v>
      </c>
      <c r="H32" s="186" t="s">
        <v>100</v>
      </c>
      <c r="I32" s="186" t="s">
        <v>1242</v>
      </c>
      <c r="J32" s="216">
        <v>21559.66</v>
      </c>
      <c r="K32" s="216">
        <v>6000</v>
      </c>
      <c r="L32" s="60">
        <f>M32+N32</f>
        <v>7000</v>
      </c>
      <c r="M32" s="216">
        <v>7000</v>
      </c>
      <c r="N32" s="216">
        <v>0</v>
      </c>
      <c r="O32" s="60">
        <f>VLOOKUP(B32,[1]续建项目!$B:$O,14,FALSE)</f>
        <v>4800</v>
      </c>
      <c r="P32" s="60">
        <f>VLOOKUP(B32,[1]续建项目!$B:$P,15,FALSE)</f>
        <v>2200</v>
      </c>
      <c r="Q32" s="220">
        <v>1</v>
      </c>
      <c r="R32" s="221">
        <f>VLOOKUP(B32,[2]续建项目!$B:$R,17,FALSE)</f>
        <v>5000</v>
      </c>
      <c r="S32" s="216" t="s">
        <v>55</v>
      </c>
      <c r="T32" s="57"/>
      <c r="U32" s="226"/>
      <c r="V32" s="130">
        <f t="shared" si="4"/>
        <v>0</v>
      </c>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3"/>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c r="IU32" s="143"/>
      <c r="IV32" s="143"/>
      <c r="IW32" s="143"/>
      <c r="IX32" s="143"/>
      <c r="IY32" s="143"/>
    </row>
    <row r="33" s="21" customFormat="1" ht="111" customHeight="1" spans="1:259">
      <c r="A33" s="140" t="s">
        <v>181</v>
      </c>
      <c r="B33" s="186" t="s">
        <v>1243</v>
      </c>
      <c r="C33" s="72" t="s">
        <v>26</v>
      </c>
      <c r="D33" s="72" t="s">
        <v>58</v>
      </c>
      <c r="E33" s="215" t="s">
        <v>1244</v>
      </c>
      <c r="F33" s="216">
        <v>16751</v>
      </c>
      <c r="G33" s="186" t="s">
        <v>925</v>
      </c>
      <c r="H33" s="186" t="s">
        <v>100</v>
      </c>
      <c r="I33" s="186" t="s">
        <v>1245</v>
      </c>
      <c r="J33" s="216">
        <v>16751</v>
      </c>
      <c r="K33" s="216">
        <v>2000</v>
      </c>
      <c r="L33" s="60">
        <f>M33+N33</f>
        <v>2600</v>
      </c>
      <c r="M33" s="216">
        <v>2600</v>
      </c>
      <c r="N33" s="216">
        <v>0</v>
      </c>
      <c r="O33" s="60">
        <f>VLOOKUP(B33,[1]续建项目!$B:$O,14,FALSE)</f>
        <v>1600</v>
      </c>
      <c r="P33" s="60">
        <f>VLOOKUP(B33,[1]续建项目!$B:$P,15,FALSE)</f>
        <v>1000</v>
      </c>
      <c r="Q33" s="220">
        <v>2</v>
      </c>
      <c r="R33" s="221">
        <f>VLOOKUP(B33,[2]续建项目!$B:$R,17,FALSE)</f>
        <v>2600</v>
      </c>
      <c r="S33" s="216" t="s">
        <v>55</v>
      </c>
      <c r="T33" s="57"/>
      <c r="U33" s="226"/>
      <c r="V33" s="130">
        <f t="shared" si="4"/>
        <v>0</v>
      </c>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c r="GT33" s="143"/>
      <c r="GU33" s="143"/>
      <c r="GV33" s="143"/>
      <c r="GW33" s="143"/>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c r="IU33" s="143"/>
      <c r="IV33" s="143"/>
      <c r="IW33" s="143"/>
      <c r="IX33" s="143"/>
      <c r="IY33" s="143"/>
    </row>
    <row r="34" s="21" customFormat="1" ht="57" customHeight="1" spans="1:259">
      <c r="A34" s="140" t="s">
        <v>187</v>
      </c>
      <c r="B34" s="72" t="s">
        <v>1246</v>
      </c>
      <c r="C34" s="72" t="s">
        <v>26</v>
      </c>
      <c r="D34" s="72" t="s">
        <v>1247</v>
      </c>
      <c r="E34" s="201" t="s">
        <v>1248</v>
      </c>
      <c r="F34" s="60">
        <v>5562.55</v>
      </c>
      <c r="G34" s="72" t="s">
        <v>364</v>
      </c>
      <c r="H34" s="72" t="s">
        <v>100</v>
      </c>
      <c r="I34" s="72" t="s">
        <v>1249</v>
      </c>
      <c r="J34" s="60">
        <v>5562.55</v>
      </c>
      <c r="K34" s="60">
        <v>782</v>
      </c>
      <c r="L34" s="60">
        <f>M34+N34</f>
        <v>1000</v>
      </c>
      <c r="M34" s="60">
        <v>1000</v>
      </c>
      <c r="N34" s="60">
        <v>0</v>
      </c>
      <c r="O34" s="60">
        <f>VLOOKUP(B34,[1]续建项目!$B:$O,14,FALSE)</f>
        <v>0</v>
      </c>
      <c r="P34" s="60">
        <f>VLOOKUP(B34,[1]续建项目!$B:$P,15,FALSE)</f>
        <v>1000</v>
      </c>
      <c r="Q34" s="220">
        <v>3</v>
      </c>
      <c r="R34" s="221">
        <f>VLOOKUP(B34,[2]续建项目!$B:$R,17,FALSE)</f>
        <v>617</v>
      </c>
      <c r="S34" s="216" t="s">
        <v>55</v>
      </c>
      <c r="T34" s="57" t="s">
        <v>63</v>
      </c>
      <c r="U34" s="129" t="s">
        <v>1250</v>
      </c>
      <c r="V34" s="130">
        <f t="shared" si="4"/>
        <v>0</v>
      </c>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c r="IU34" s="143"/>
      <c r="IV34" s="143"/>
      <c r="IW34" s="143"/>
      <c r="IX34" s="143"/>
      <c r="IY34" s="143"/>
    </row>
    <row r="35" s="21" customFormat="1" ht="57" customHeight="1" spans="1:259">
      <c r="A35" s="140" t="s">
        <v>191</v>
      </c>
      <c r="B35" s="72" t="s">
        <v>1251</v>
      </c>
      <c r="C35" s="72" t="s">
        <v>26</v>
      </c>
      <c r="D35" s="72" t="s">
        <v>1247</v>
      </c>
      <c r="E35" s="201" t="s">
        <v>1252</v>
      </c>
      <c r="F35" s="60">
        <v>5499.62</v>
      </c>
      <c r="G35" s="72" t="s">
        <v>364</v>
      </c>
      <c r="H35" s="72" t="s">
        <v>100</v>
      </c>
      <c r="I35" s="72" t="s">
        <v>1253</v>
      </c>
      <c r="J35" s="60">
        <v>5499.62</v>
      </c>
      <c r="K35" s="60">
        <v>779</v>
      </c>
      <c r="L35" s="60">
        <v>1000</v>
      </c>
      <c r="M35" s="60">
        <v>1000</v>
      </c>
      <c r="N35" s="60">
        <v>0</v>
      </c>
      <c r="O35" s="60">
        <f>VLOOKUP(B35,[1]续建项目!$B:$O,14,FALSE)</f>
        <v>0</v>
      </c>
      <c r="P35" s="60">
        <f>VLOOKUP(B35,[1]续建项目!$B:$P,15,FALSE)</f>
        <v>1000</v>
      </c>
      <c r="Q35" s="220">
        <v>4</v>
      </c>
      <c r="R35" s="221">
        <f>VLOOKUP(B35,[2]续建项目!$B:$R,17,FALSE)</f>
        <v>0</v>
      </c>
      <c r="S35" s="216" t="s">
        <v>55</v>
      </c>
      <c r="T35" s="57" t="s">
        <v>63</v>
      </c>
      <c r="U35" s="129" t="s">
        <v>1254</v>
      </c>
      <c r="V35" s="130">
        <f t="shared" si="4"/>
        <v>0</v>
      </c>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c r="GX35" s="143"/>
      <c r="GY35" s="143"/>
      <c r="GZ35" s="143"/>
      <c r="HA35" s="143"/>
      <c r="HB35" s="143"/>
      <c r="HC35" s="143"/>
      <c r="HD35" s="143"/>
      <c r="HE35" s="143"/>
      <c r="HF35" s="143"/>
      <c r="HG35" s="143"/>
      <c r="HH35" s="143"/>
      <c r="HI35" s="143"/>
      <c r="HJ35" s="143"/>
      <c r="HK35" s="143"/>
      <c r="HL35" s="143"/>
      <c r="HM35" s="143"/>
      <c r="HN35" s="143"/>
      <c r="HO35" s="143"/>
      <c r="HP35" s="143"/>
      <c r="HQ35" s="143"/>
      <c r="HR35" s="143"/>
      <c r="HS35" s="143"/>
      <c r="HT35" s="143"/>
      <c r="HU35" s="143"/>
      <c r="HV35" s="143"/>
      <c r="HW35" s="143"/>
      <c r="HX35" s="143"/>
      <c r="HY35" s="143"/>
      <c r="HZ35" s="143"/>
      <c r="IA35" s="143"/>
      <c r="IB35" s="143"/>
      <c r="IC35" s="143"/>
      <c r="ID35" s="143"/>
      <c r="IE35" s="143"/>
      <c r="IF35" s="143"/>
      <c r="IG35" s="143"/>
      <c r="IH35" s="143"/>
      <c r="II35" s="143"/>
      <c r="IJ35" s="143"/>
      <c r="IK35" s="143"/>
      <c r="IL35" s="143"/>
      <c r="IM35" s="143"/>
      <c r="IN35" s="143"/>
      <c r="IO35" s="143"/>
      <c r="IP35" s="143"/>
      <c r="IQ35" s="143"/>
      <c r="IR35" s="143"/>
      <c r="IS35" s="143"/>
      <c r="IT35" s="143"/>
      <c r="IU35" s="143"/>
      <c r="IV35" s="143"/>
      <c r="IW35" s="143"/>
      <c r="IX35" s="143"/>
      <c r="IY35" s="143"/>
    </row>
    <row r="36" s="21" customFormat="1" ht="185" customHeight="1" spans="1:259">
      <c r="A36" s="140" t="s">
        <v>195</v>
      </c>
      <c r="B36" s="72" t="s">
        <v>1255</v>
      </c>
      <c r="C36" s="72" t="s">
        <v>26</v>
      </c>
      <c r="D36" s="72" t="s">
        <v>1256</v>
      </c>
      <c r="E36" s="201" t="s">
        <v>1257</v>
      </c>
      <c r="F36" s="60">
        <v>1605.89</v>
      </c>
      <c r="G36" s="72" t="s">
        <v>1179</v>
      </c>
      <c r="H36" s="72" t="s">
        <v>100</v>
      </c>
      <c r="I36" s="72" t="s">
        <v>1258</v>
      </c>
      <c r="J36" s="60">
        <v>957.815</v>
      </c>
      <c r="K36" s="60">
        <v>482.3</v>
      </c>
      <c r="L36" s="60">
        <f t="shared" ref="L36:L41" si="5">M36+N36</f>
        <v>482.3</v>
      </c>
      <c r="M36" s="60">
        <v>482.3</v>
      </c>
      <c r="N36" s="60">
        <v>0</v>
      </c>
      <c r="O36" s="60">
        <f>VLOOKUP(B36,[1]续建项目!$B:$O,14,FALSE)</f>
        <v>206.7</v>
      </c>
      <c r="P36" s="60">
        <f>VLOOKUP(B36,[1]续建项目!$B:$P,15,FALSE)</f>
        <v>275.6</v>
      </c>
      <c r="Q36" s="220">
        <v>5</v>
      </c>
      <c r="R36" s="221">
        <f>VLOOKUP(B36,[2]续建项目!$B:$R,17,FALSE)</f>
        <v>0</v>
      </c>
      <c r="S36" s="216" t="s">
        <v>944</v>
      </c>
      <c r="T36" s="57" t="s">
        <v>63</v>
      </c>
      <c r="U36" s="226"/>
      <c r="V36" s="130">
        <f t="shared" si="4"/>
        <v>0</v>
      </c>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3"/>
      <c r="HM36" s="143"/>
      <c r="HN36" s="143"/>
      <c r="HO36" s="143"/>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c r="IO36" s="143"/>
      <c r="IP36" s="143"/>
      <c r="IQ36" s="143"/>
      <c r="IR36" s="143"/>
      <c r="IS36" s="143"/>
      <c r="IT36" s="143"/>
      <c r="IU36" s="143"/>
      <c r="IV36" s="143"/>
      <c r="IW36" s="143"/>
      <c r="IX36" s="143"/>
      <c r="IY36" s="143"/>
    </row>
    <row r="37" s="21" customFormat="1" ht="128" customHeight="1" spans="1:259">
      <c r="A37" s="140" t="s">
        <v>199</v>
      </c>
      <c r="B37" s="72" t="s">
        <v>1259</v>
      </c>
      <c r="C37" s="72" t="s">
        <v>26</v>
      </c>
      <c r="D37" s="72" t="s">
        <v>145</v>
      </c>
      <c r="E37" s="201" t="s">
        <v>1260</v>
      </c>
      <c r="F37" s="60">
        <v>178973.23</v>
      </c>
      <c r="G37" s="72" t="s">
        <v>1261</v>
      </c>
      <c r="H37" s="72" t="s">
        <v>100</v>
      </c>
      <c r="I37" s="72" t="s">
        <v>1262</v>
      </c>
      <c r="J37" s="60">
        <v>70299.06</v>
      </c>
      <c r="K37" s="60">
        <v>69581.1764705882</v>
      </c>
      <c r="L37" s="60">
        <f t="shared" si="5"/>
        <v>59144</v>
      </c>
      <c r="M37" s="60">
        <v>59144</v>
      </c>
      <c r="N37" s="60">
        <v>0</v>
      </c>
      <c r="O37" s="60">
        <f>VLOOKUP(B37,[1]续建项目!$B:$O,14,FALSE)</f>
        <v>45572</v>
      </c>
      <c r="P37" s="60">
        <f>VLOOKUP(B37,[1]续建项目!$B:$P,15,FALSE)</f>
        <v>13572</v>
      </c>
      <c r="Q37" s="220">
        <v>6</v>
      </c>
      <c r="R37" s="221">
        <f>VLOOKUP(B37,[2]续建项目!$B:$R,17,FALSE)</f>
        <v>0</v>
      </c>
      <c r="S37" s="216" t="s">
        <v>944</v>
      </c>
      <c r="T37" s="57" t="s">
        <v>63</v>
      </c>
      <c r="U37" s="129" t="s">
        <v>1263</v>
      </c>
      <c r="V37" s="130">
        <f t="shared" si="4"/>
        <v>0</v>
      </c>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143"/>
      <c r="EJ37" s="143"/>
      <c r="EK37" s="143"/>
      <c r="EL37" s="143"/>
      <c r="EM37" s="143"/>
      <c r="EN37" s="143"/>
      <c r="EO37" s="143"/>
      <c r="EP37" s="143"/>
      <c r="EQ37" s="143"/>
      <c r="ER37" s="143"/>
      <c r="ES37" s="143"/>
      <c r="ET37" s="143"/>
      <c r="EU37" s="143"/>
      <c r="EV37" s="143"/>
      <c r="EW37" s="143"/>
      <c r="EX37" s="143"/>
      <c r="EY37" s="143"/>
      <c r="EZ37" s="143"/>
      <c r="FA37" s="143"/>
      <c r="FB37" s="143"/>
      <c r="FC37" s="143"/>
      <c r="FD37" s="143"/>
      <c r="FE37" s="143"/>
      <c r="FF37" s="143"/>
      <c r="FG37" s="143"/>
      <c r="FH37" s="143"/>
      <c r="FI37" s="143"/>
      <c r="FJ37" s="143"/>
      <c r="FK37" s="143"/>
      <c r="FL37" s="143"/>
      <c r="FM37" s="143"/>
      <c r="FN37" s="143"/>
      <c r="FO37" s="143"/>
      <c r="FP37" s="143"/>
      <c r="FQ37" s="143"/>
      <c r="FR37" s="143"/>
      <c r="FS37" s="143"/>
      <c r="FT37" s="143"/>
      <c r="FU37" s="143"/>
      <c r="FV37" s="143"/>
      <c r="FW37" s="143"/>
      <c r="FX37" s="143"/>
      <c r="FY37" s="143"/>
      <c r="FZ37" s="143"/>
      <c r="GA37" s="143"/>
      <c r="GB37" s="143"/>
      <c r="GC37" s="143"/>
      <c r="GD37" s="143"/>
      <c r="GE37" s="143"/>
      <c r="GF37" s="143"/>
      <c r="GG37" s="143"/>
      <c r="GH37" s="143"/>
      <c r="GI37" s="143"/>
      <c r="GJ37" s="143"/>
      <c r="GK37" s="143"/>
      <c r="GL37" s="143"/>
      <c r="GM37" s="143"/>
      <c r="GN37" s="143"/>
      <c r="GO37" s="143"/>
      <c r="GP37" s="143"/>
      <c r="GQ37" s="143"/>
      <c r="GR37" s="143"/>
      <c r="GS37" s="143"/>
      <c r="GT37" s="143"/>
      <c r="GU37" s="143"/>
      <c r="GV37" s="143"/>
      <c r="GW37" s="143"/>
      <c r="GX37" s="143"/>
      <c r="GY37" s="143"/>
      <c r="GZ37" s="143"/>
      <c r="HA37" s="143"/>
      <c r="HB37" s="143"/>
      <c r="HC37" s="143"/>
      <c r="HD37" s="143"/>
      <c r="HE37" s="143"/>
      <c r="HF37" s="143"/>
      <c r="HG37" s="143"/>
      <c r="HH37" s="143"/>
      <c r="HI37" s="143"/>
      <c r="HJ37" s="143"/>
      <c r="HK37" s="143"/>
      <c r="HL37" s="143"/>
      <c r="HM37" s="143"/>
      <c r="HN37" s="143"/>
      <c r="HO37" s="143"/>
      <c r="HP37" s="143"/>
      <c r="HQ37" s="143"/>
      <c r="HR37" s="143"/>
      <c r="HS37" s="143"/>
      <c r="HT37" s="143"/>
      <c r="HU37" s="143"/>
      <c r="HV37" s="143"/>
      <c r="HW37" s="143"/>
      <c r="HX37" s="143"/>
      <c r="HY37" s="143"/>
      <c r="HZ37" s="143"/>
      <c r="IA37" s="143"/>
      <c r="IB37" s="143"/>
      <c r="IC37" s="143"/>
      <c r="ID37" s="143"/>
      <c r="IE37" s="143"/>
      <c r="IF37" s="143"/>
      <c r="IG37" s="143"/>
      <c r="IH37" s="143"/>
      <c r="II37" s="143"/>
      <c r="IJ37" s="143"/>
      <c r="IK37" s="143"/>
      <c r="IL37" s="143"/>
      <c r="IM37" s="143"/>
      <c r="IN37" s="143"/>
      <c r="IO37" s="143"/>
      <c r="IP37" s="143"/>
      <c r="IQ37" s="143"/>
      <c r="IR37" s="143"/>
      <c r="IS37" s="143"/>
      <c r="IT37" s="143"/>
      <c r="IU37" s="143"/>
      <c r="IV37" s="143"/>
      <c r="IW37" s="143"/>
      <c r="IX37" s="143"/>
      <c r="IY37" s="143"/>
    </row>
    <row r="38" s="21" customFormat="1" ht="54" customHeight="1" spans="1:259">
      <c r="A38" s="140" t="s">
        <v>203</v>
      </c>
      <c r="B38" s="57" t="s">
        <v>1264</v>
      </c>
      <c r="C38" s="72" t="s">
        <v>26</v>
      </c>
      <c r="D38" s="57" t="s">
        <v>140</v>
      </c>
      <c r="E38" s="59" t="s">
        <v>1265</v>
      </c>
      <c r="F38" s="185">
        <v>458.34</v>
      </c>
      <c r="G38" s="73" t="s">
        <v>105</v>
      </c>
      <c r="H38" s="65" t="s">
        <v>100</v>
      </c>
      <c r="I38" s="73" t="s">
        <v>1266</v>
      </c>
      <c r="J38" s="185">
        <v>458.34</v>
      </c>
      <c r="K38" s="185">
        <v>440</v>
      </c>
      <c r="L38" s="60">
        <f t="shared" si="5"/>
        <v>375</v>
      </c>
      <c r="M38" s="185">
        <v>375</v>
      </c>
      <c r="N38" s="60">
        <v>0</v>
      </c>
      <c r="O38" s="60">
        <f>VLOOKUP(B38,[1]续建项目!$B:$O,14,FALSE)</f>
        <v>374</v>
      </c>
      <c r="P38" s="60">
        <f>VLOOKUP(B38,[1]续建项目!$B:$P,15,FALSE)</f>
        <v>1</v>
      </c>
      <c r="Q38" s="220">
        <v>7</v>
      </c>
      <c r="R38" s="221">
        <f>VLOOKUP(B38,[2]续建项目!$B:$R,17,FALSE)</f>
        <v>370</v>
      </c>
      <c r="S38" s="185" t="s">
        <v>95</v>
      </c>
      <c r="T38" s="57"/>
      <c r="U38" s="129"/>
      <c r="V38" s="130">
        <f t="shared" si="4"/>
        <v>0</v>
      </c>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row>
    <row r="39" s="46" customFormat="1" ht="86" customHeight="1" spans="1:259">
      <c r="A39" s="140" t="s">
        <v>207</v>
      </c>
      <c r="B39" s="57" t="s">
        <v>1267</v>
      </c>
      <c r="C39" s="72" t="s">
        <v>26</v>
      </c>
      <c r="D39" s="57" t="s">
        <v>140</v>
      </c>
      <c r="E39" s="59" t="s">
        <v>1268</v>
      </c>
      <c r="F39" s="85">
        <v>459.22</v>
      </c>
      <c r="G39" s="57" t="s">
        <v>105</v>
      </c>
      <c r="H39" s="65" t="s">
        <v>100</v>
      </c>
      <c r="I39" s="65" t="s">
        <v>1269</v>
      </c>
      <c r="J39" s="185">
        <v>379.3</v>
      </c>
      <c r="K39" s="185">
        <v>340</v>
      </c>
      <c r="L39" s="60">
        <f t="shared" si="5"/>
        <v>288</v>
      </c>
      <c r="M39" s="185">
        <v>288</v>
      </c>
      <c r="N39" s="60">
        <v>0</v>
      </c>
      <c r="O39" s="60">
        <f>VLOOKUP(B39,[1]续建项目!$B:$O,14,FALSE)</f>
        <v>286.5</v>
      </c>
      <c r="P39" s="60">
        <f>VLOOKUP(B39,[1]续建项目!$B:$P,15,FALSE)</f>
        <v>1.5</v>
      </c>
      <c r="Q39" s="220">
        <v>8</v>
      </c>
      <c r="R39" s="221">
        <f>VLOOKUP(B39,[2]续建项目!$B:$R,17,FALSE)</f>
        <v>280</v>
      </c>
      <c r="S39" s="185" t="s">
        <v>95</v>
      </c>
      <c r="T39" s="57"/>
      <c r="U39" s="226"/>
      <c r="V39" s="130">
        <f t="shared" si="4"/>
        <v>0</v>
      </c>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c r="FF39" s="143"/>
      <c r="FG39" s="143"/>
      <c r="FH39" s="143"/>
      <c r="FI39" s="143"/>
      <c r="FJ39" s="143"/>
      <c r="FK39" s="143"/>
      <c r="FL39" s="143"/>
      <c r="FM39" s="143"/>
      <c r="FN39" s="143"/>
      <c r="FO39" s="143"/>
      <c r="FP39" s="143"/>
      <c r="FQ39" s="143"/>
      <c r="FR39" s="143"/>
      <c r="FS39" s="143"/>
      <c r="FT39" s="143"/>
      <c r="FU39" s="143"/>
      <c r="FV39" s="143"/>
      <c r="FW39" s="143"/>
      <c r="FX39" s="143"/>
      <c r="FY39" s="143"/>
      <c r="FZ39" s="143"/>
      <c r="GA39" s="143"/>
      <c r="GB39" s="143"/>
      <c r="GC39" s="143"/>
      <c r="GD39" s="143"/>
      <c r="GE39" s="143"/>
      <c r="GF39" s="143"/>
      <c r="GG39" s="143"/>
      <c r="GH39" s="143"/>
      <c r="GI39" s="143"/>
      <c r="GJ39" s="143"/>
      <c r="GK39" s="143"/>
      <c r="GL39" s="143"/>
      <c r="GM39" s="143"/>
      <c r="GN39" s="143"/>
      <c r="GO39" s="143"/>
      <c r="GP39" s="143"/>
      <c r="GQ39" s="143"/>
      <c r="GR39" s="143"/>
      <c r="GS39" s="143"/>
      <c r="GT39" s="143"/>
      <c r="GU39" s="143"/>
      <c r="GV39" s="143"/>
      <c r="GW39" s="143"/>
      <c r="GX39" s="143"/>
      <c r="GY39" s="143"/>
      <c r="GZ39" s="143"/>
      <c r="HA39" s="143"/>
      <c r="HB39" s="143"/>
      <c r="HC39" s="143"/>
      <c r="HD39" s="143"/>
      <c r="HE39" s="143"/>
      <c r="HF39" s="143"/>
      <c r="HG39" s="143"/>
      <c r="HH39" s="143"/>
      <c r="HI39" s="143"/>
      <c r="HJ39" s="143"/>
      <c r="HK39" s="143"/>
      <c r="HL39" s="143"/>
      <c r="HM39" s="143"/>
      <c r="HN39" s="143"/>
      <c r="HO39" s="143"/>
      <c r="HP39" s="143"/>
      <c r="HQ39" s="143"/>
      <c r="HR39" s="143"/>
      <c r="HS39" s="143"/>
      <c r="HT39" s="143"/>
      <c r="HU39" s="143"/>
      <c r="HV39" s="143"/>
      <c r="HW39" s="143"/>
      <c r="HX39" s="143"/>
      <c r="HY39" s="143"/>
      <c r="HZ39" s="143"/>
      <c r="IA39" s="143"/>
      <c r="IB39" s="143"/>
      <c r="IC39" s="143"/>
      <c r="ID39" s="143"/>
      <c r="IE39" s="143"/>
      <c r="IF39" s="143"/>
      <c r="IG39" s="143"/>
      <c r="IH39" s="143"/>
      <c r="II39" s="143"/>
      <c r="IJ39" s="143"/>
      <c r="IK39" s="143"/>
      <c r="IL39" s="143"/>
      <c r="IM39" s="143"/>
      <c r="IN39" s="143"/>
      <c r="IO39" s="143"/>
      <c r="IP39" s="143"/>
      <c r="IQ39" s="143"/>
      <c r="IR39" s="143"/>
      <c r="IS39" s="143"/>
      <c r="IT39" s="228"/>
      <c r="IU39" s="228"/>
      <c r="IV39" s="228"/>
      <c r="IW39" s="228"/>
      <c r="IX39" s="228"/>
      <c r="IY39" s="228"/>
    </row>
    <row r="40" s="21" customFormat="1" ht="84" customHeight="1" spans="1:259">
      <c r="A40" s="140" t="s">
        <v>212</v>
      </c>
      <c r="B40" s="57" t="s">
        <v>1270</v>
      </c>
      <c r="C40" s="72" t="s">
        <v>26</v>
      </c>
      <c r="D40" s="57" t="s">
        <v>140</v>
      </c>
      <c r="E40" s="59" t="s">
        <v>1271</v>
      </c>
      <c r="F40" s="85">
        <v>767.72</v>
      </c>
      <c r="G40" s="57" t="s">
        <v>105</v>
      </c>
      <c r="H40" s="65" t="s">
        <v>100</v>
      </c>
      <c r="I40" s="65" t="s">
        <v>1272</v>
      </c>
      <c r="J40" s="185">
        <v>622.1</v>
      </c>
      <c r="K40" s="185">
        <v>322.1</v>
      </c>
      <c r="L40" s="60">
        <f t="shared" si="5"/>
        <v>272</v>
      </c>
      <c r="M40" s="185">
        <v>272</v>
      </c>
      <c r="N40" s="174">
        <v>0</v>
      </c>
      <c r="O40" s="60">
        <f>VLOOKUP(B40,[1]续建项目!$B:$O,14,FALSE)</f>
        <v>270</v>
      </c>
      <c r="P40" s="60">
        <f>VLOOKUP(B40,[1]续建项目!$B:$P,15,FALSE)</f>
        <v>2</v>
      </c>
      <c r="Q40" s="220">
        <v>9</v>
      </c>
      <c r="R40" s="221">
        <f>VLOOKUP(B40,[2]续建项目!$B:$R,17,FALSE)</f>
        <v>270</v>
      </c>
      <c r="S40" s="185" t="s">
        <v>95</v>
      </c>
      <c r="T40" s="57"/>
      <c r="U40" s="226"/>
      <c r="V40" s="130">
        <f t="shared" si="4"/>
        <v>0</v>
      </c>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3"/>
      <c r="FU40" s="143"/>
      <c r="FV40" s="143"/>
      <c r="FW40" s="143"/>
      <c r="FX40" s="143"/>
      <c r="FY40" s="143"/>
      <c r="FZ40" s="143"/>
      <c r="GA40" s="143"/>
      <c r="GB40" s="143"/>
      <c r="GC40" s="143"/>
      <c r="GD40" s="143"/>
      <c r="GE40" s="143"/>
      <c r="GF40" s="143"/>
      <c r="GG40" s="143"/>
      <c r="GH40" s="143"/>
      <c r="GI40" s="143"/>
      <c r="GJ40" s="143"/>
      <c r="GK40" s="143"/>
      <c r="GL40" s="143"/>
      <c r="GM40" s="143"/>
      <c r="GN40" s="143"/>
      <c r="GO40" s="143"/>
      <c r="GP40" s="143"/>
      <c r="GQ40" s="143"/>
      <c r="GR40" s="143"/>
      <c r="GS40" s="143"/>
      <c r="GT40" s="143"/>
      <c r="GU40" s="143"/>
      <c r="GV40" s="143"/>
      <c r="GW40" s="143"/>
      <c r="GX40" s="143"/>
      <c r="GY40" s="143"/>
      <c r="GZ40" s="143"/>
      <c r="HA40" s="143"/>
      <c r="HB40" s="143"/>
      <c r="HC40" s="143"/>
      <c r="HD40" s="143"/>
      <c r="HE40" s="143"/>
      <c r="HF40" s="143"/>
      <c r="HG40" s="143"/>
      <c r="HH40" s="143"/>
      <c r="HI40" s="143"/>
      <c r="HJ40" s="143"/>
      <c r="HK40" s="143"/>
      <c r="HL40" s="143"/>
      <c r="HM40" s="143"/>
      <c r="HN40" s="143"/>
      <c r="HO40" s="143"/>
      <c r="HP40" s="143"/>
      <c r="HQ40" s="143"/>
      <c r="HR40" s="143"/>
      <c r="HS40" s="143"/>
      <c r="HT40" s="143"/>
      <c r="HU40" s="143"/>
      <c r="HV40" s="143"/>
      <c r="HW40" s="143"/>
      <c r="HX40" s="143"/>
      <c r="HY40" s="143"/>
      <c r="HZ40" s="143"/>
      <c r="IA40" s="143"/>
      <c r="IB40" s="143"/>
      <c r="IC40" s="143"/>
      <c r="ID40" s="143"/>
      <c r="IE40" s="143"/>
      <c r="IF40" s="143"/>
      <c r="IG40" s="143"/>
      <c r="IH40" s="143"/>
      <c r="II40" s="143"/>
      <c r="IJ40" s="143"/>
      <c r="IK40" s="143"/>
      <c r="IL40" s="143"/>
      <c r="IM40" s="143"/>
      <c r="IN40" s="143"/>
      <c r="IO40" s="143"/>
      <c r="IP40" s="143"/>
      <c r="IQ40" s="143"/>
      <c r="IR40" s="143"/>
      <c r="IS40" s="143"/>
      <c r="IT40" s="228"/>
      <c r="IU40" s="228"/>
      <c r="IV40" s="228"/>
      <c r="IW40" s="228"/>
      <c r="IX40" s="228"/>
      <c r="IY40" s="228"/>
    </row>
    <row r="41" s="21" customFormat="1" ht="156" customHeight="1" spans="1:259">
      <c r="A41" s="140" t="s">
        <v>216</v>
      </c>
      <c r="B41" s="57" t="s">
        <v>1273</v>
      </c>
      <c r="C41" s="65" t="s">
        <v>29</v>
      </c>
      <c r="D41" s="57" t="s">
        <v>140</v>
      </c>
      <c r="E41" s="59" t="s">
        <v>1274</v>
      </c>
      <c r="F41" s="185">
        <v>214880</v>
      </c>
      <c r="G41" s="57" t="s">
        <v>105</v>
      </c>
      <c r="H41" s="57" t="s">
        <v>100</v>
      </c>
      <c r="I41" s="57" t="s">
        <v>1275</v>
      </c>
      <c r="J41" s="185">
        <v>214880</v>
      </c>
      <c r="K41" s="185">
        <v>35696</v>
      </c>
      <c r="L41" s="185">
        <f t="shared" si="5"/>
        <v>42793.495425</v>
      </c>
      <c r="M41" s="185">
        <v>42793.495425</v>
      </c>
      <c r="N41" s="60">
        <v>0</v>
      </c>
      <c r="O41" s="60">
        <v>42124.495425</v>
      </c>
      <c r="P41" s="60">
        <v>669</v>
      </c>
      <c r="Q41" s="220">
        <v>1</v>
      </c>
      <c r="R41" s="221">
        <f>VLOOKUP(B41,[2]续建项目!$B:$R,17,FALSE)</f>
        <v>0</v>
      </c>
      <c r="S41" s="60" t="s">
        <v>62</v>
      </c>
      <c r="T41" s="57" t="s">
        <v>63</v>
      </c>
      <c r="U41" s="227" t="s">
        <v>1276</v>
      </c>
      <c r="V41" s="130">
        <f t="shared" si="4"/>
        <v>0</v>
      </c>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c r="IW41" s="46"/>
      <c r="IX41" s="46"/>
      <c r="IY41" s="46"/>
    </row>
    <row r="42" s="21" customFormat="1" ht="51" customHeight="1" spans="1:22">
      <c r="A42" s="140" t="s">
        <v>220</v>
      </c>
      <c r="B42" s="72" t="s">
        <v>1277</v>
      </c>
      <c r="C42" s="72" t="s">
        <v>27</v>
      </c>
      <c r="D42" s="72" t="s">
        <v>140</v>
      </c>
      <c r="E42" s="201" t="s">
        <v>1278</v>
      </c>
      <c r="F42" s="60">
        <v>3680</v>
      </c>
      <c r="G42" s="72" t="s">
        <v>105</v>
      </c>
      <c r="H42" s="65" t="s">
        <v>100</v>
      </c>
      <c r="I42" s="72" t="s">
        <v>1279</v>
      </c>
      <c r="J42" s="60">
        <v>2595.325</v>
      </c>
      <c r="K42" s="60">
        <v>1500</v>
      </c>
      <c r="L42" s="60">
        <v>1200</v>
      </c>
      <c r="M42" s="60">
        <v>1200</v>
      </c>
      <c r="N42" s="60">
        <v>0</v>
      </c>
      <c r="O42" s="60">
        <v>1021</v>
      </c>
      <c r="P42" s="60">
        <v>179</v>
      </c>
      <c r="Q42" s="220">
        <v>1</v>
      </c>
      <c r="R42" s="221">
        <f>VLOOKUP(B42,[2]续建项目!$B:$R,17,FALSE)</f>
        <v>0</v>
      </c>
      <c r="S42" s="60" t="s">
        <v>62</v>
      </c>
      <c r="T42" s="57" t="s">
        <v>1222</v>
      </c>
      <c r="U42" s="222"/>
      <c r="V42" s="130">
        <f t="shared" si="4"/>
        <v>0</v>
      </c>
    </row>
    <row r="43" s="21" customFormat="1" ht="185" customHeight="1" spans="1:22">
      <c r="A43" s="140" t="s">
        <v>224</v>
      </c>
      <c r="B43" s="72" t="s">
        <v>1280</v>
      </c>
      <c r="C43" s="72" t="s">
        <v>31</v>
      </c>
      <c r="D43" s="72" t="s">
        <v>31</v>
      </c>
      <c r="E43" s="201" t="s">
        <v>1281</v>
      </c>
      <c r="F43" s="60">
        <v>663.11</v>
      </c>
      <c r="G43" s="72" t="s">
        <v>364</v>
      </c>
      <c r="H43" s="72" t="s">
        <v>100</v>
      </c>
      <c r="I43" s="72" t="s">
        <v>310</v>
      </c>
      <c r="J43" s="60">
        <v>600.624</v>
      </c>
      <c r="K43" s="60">
        <v>404.266</v>
      </c>
      <c r="L43" s="185">
        <v>404.27</v>
      </c>
      <c r="M43" s="60">
        <v>404.27</v>
      </c>
      <c r="N43" s="60">
        <v>0</v>
      </c>
      <c r="O43" s="60">
        <v>156.22</v>
      </c>
      <c r="P43" s="60">
        <v>248.05</v>
      </c>
      <c r="Q43" s="220">
        <v>1</v>
      </c>
      <c r="R43" s="221">
        <f>VLOOKUP(B43,[2]续建项目!$B:$R,17,FALSE)</f>
        <v>0</v>
      </c>
      <c r="S43" s="60" t="s">
        <v>107</v>
      </c>
      <c r="T43" s="57" t="s">
        <v>63</v>
      </c>
      <c r="U43" s="222"/>
      <c r="V43" s="130">
        <f t="shared" si="4"/>
        <v>0</v>
      </c>
    </row>
  </sheetData>
  <autoFilter ref="A5:IY43">
    <extLst/>
  </autoFilter>
  <sortState ref="A32:IY40">
    <sortCondition ref="Q32:Q40"/>
  </sortState>
  <mergeCells count="23">
    <mergeCell ref="A1:B1"/>
    <mergeCell ref="A2:T2"/>
    <mergeCell ref="D3:E3"/>
    <mergeCell ref="N3:T3"/>
    <mergeCell ref="L4:N4"/>
    <mergeCell ref="A7:E7"/>
    <mergeCell ref="A4:A5"/>
    <mergeCell ref="B4:B5"/>
    <mergeCell ref="C4:C5"/>
    <mergeCell ref="D4:D5"/>
    <mergeCell ref="E4:E5"/>
    <mergeCell ref="F4:F5"/>
    <mergeCell ref="G4:G5"/>
    <mergeCell ref="H4:H5"/>
    <mergeCell ref="I4:I5"/>
    <mergeCell ref="J4:J5"/>
    <mergeCell ref="K4:K5"/>
    <mergeCell ref="O4:O5"/>
    <mergeCell ref="P4:P5"/>
    <mergeCell ref="Q4:Q5"/>
    <mergeCell ref="R4:R5"/>
    <mergeCell ref="S4:S5"/>
    <mergeCell ref="T4:T5"/>
  </mergeCells>
  <conditionalFormatting sqref="N11">
    <cfRule type="expression" dxfId="0" priority="3" stopIfTrue="1">
      <formula>AND(SUMPRODUCT(IFERROR(1*(($B$7:$B$56&amp;"x")=(N11&amp;"x")),0))&gt;1,NOT(ISBLANK(N11)))</formula>
    </cfRule>
  </conditionalFormatting>
  <conditionalFormatting sqref="B39">
    <cfRule type="expression" dxfId="0" priority="1" stopIfTrue="1">
      <formula>AND(COUNTIF($B$9:$B$133,B39)+COUNTIF(#REF!,B39)&gt;1,NOT(ISBLANK(B39)))</formula>
    </cfRule>
  </conditionalFormatting>
  <conditionalFormatting sqref="B32:B34">
    <cfRule type="expression" dxfId="0" priority="2" stopIfTrue="1">
      <formula>AND(COUNTIF($B$14:$B$144,B32)+COUNTIF(#REF!,B32)&gt;1,NOT(ISBLANK(B32)))</formula>
    </cfRule>
  </conditionalFormatting>
  <printOptions horizontalCentered="1"/>
  <pageMargins left="0.35" right="0.35" top="0.550694444444444" bottom="0.393055555555556" header="0.511805555555556" footer="0.389583333333333"/>
  <pageSetup paperSize="8" scale="88" fitToHeight="0" orientation="landscape" horizontalDpi="600" verticalDpi="600"/>
  <headerFooter alignWithMargins="0">
    <oddFooter>&amp;C&amp;"宋体"&amp;11第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25"/>
  <sheetViews>
    <sheetView view="pageBreakPreview" zoomScale="70" zoomScaleNormal="85" workbookViewId="0">
      <pane ySplit="7" topLeftCell="A8" activePane="bottomLeft" state="frozen"/>
      <selection/>
      <selection pane="bottomLeft" activeCell="AC8" sqref="AC8"/>
    </sheetView>
  </sheetViews>
  <sheetFormatPr defaultColWidth="7.87962962962963" defaultRowHeight="15.6"/>
  <cols>
    <col min="1" max="1" width="6.87962962962963" style="146" customWidth="1"/>
    <col min="2" max="2" width="26.5" style="147" customWidth="1"/>
    <col min="3" max="3" width="10.3796296296296" style="147" customWidth="1"/>
    <col min="4" max="4" width="8.62962962962963" style="148" customWidth="1"/>
    <col min="5" max="5" width="30" style="149" customWidth="1"/>
    <col min="6" max="6" width="16.1296296296296" style="150" customWidth="1"/>
    <col min="7" max="7" width="12.0462962962963" style="150" customWidth="1"/>
    <col min="8" max="8" width="12.8796296296296" style="151" customWidth="1"/>
    <col min="9" max="9" width="8.87962962962963" style="151" customWidth="1"/>
    <col min="10" max="10" width="12.75" style="151" customWidth="1"/>
    <col min="11" max="11" width="13" style="150" customWidth="1"/>
    <col min="12" max="12" width="12.8425925925926" style="150" customWidth="1"/>
    <col min="13" max="13" width="11.8888888888889" style="150" customWidth="1"/>
    <col min="14" max="15" width="11.8888888888889" style="152" customWidth="1"/>
    <col min="16" max="17" width="13.0092592592593" style="153" hidden="1" customWidth="1"/>
    <col min="18" max="18" width="11.2685185185185" style="121" hidden="1" customWidth="1"/>
    <col min="19" max="19" width="28.25" style="121" hidden="1" customWidth="1"/>
    <col min="20" max="20" width="12.8518518518519" style="121" hidden="1" customWidth="1"/>
    <col min="21" max="21" width="10" style="147" customWidth="1"/>
    <col min="22" max="22" width="10" style="147" hidden="1" customWidth="1"/>
    <col min="23" max="23" width="8.62962962962963" style="121" customWidth="1"/>
    <col min="24" max="24" width="13.3796296296296" style="154" hidden="1" customWidth="1"/>
    <col min="25" max="25" width="12.6296296296296" style="130" hidden="1" customWidth="1"/>
    <col min="26" max="27" width="7.87962962962963" style="21" hidden="1" customWidth="1"/>
    <col min="28" max="33" width="7.87962962962963" style="21" customWidth="1"/>
    <col min="34" max="16384" width="7.87962962962963" style="21"/>
  </cols>
  <sheetData>
    <row r="1" ht="17.4" spans="1:2">
      <c r="A1" s="38" t="s">
        <v>1282</v>
      </c>
      <c r="B1" s="155"/>
    </row>
    <row r="2" ht="36.95" customHeight="1" spans="1:23">
      <c r="A2" s="39" t="s">
        <v>1283</v>
      </c>
      <c r="B2" s="39"/>
      <c r="C2" s="39"/>
      <c r="D2" s="39"/>
      <c r="E2" s="40"/>
      <c r="F2" s="156"/>
      <c r="G2" s="156"/>
      <c r="H2" s="39"/>
      <c r="I2" s="39"/>
      <c r="J2" s="39"/>
      <c r="K2" s="156"/>
      <c r="L2" s="156"/>
      <c r="M2" s="156"/>
      <c r="N2" s="156"/>
      <c r="O2" s="156"/>
      <c r="P2" s="177"/>
      <c r="Q2" s="177"/>
      <c r="R2" s="189"/>
      <c r="S2" s="189"/>
      <c r="T2" s="189"/>
      <c r="U2" s="189"/>
      <c r="V2" s="189"/>
      <c r="W2" s="189"/>
    </row>
    <row r="3" s="21" customFormat="1" ht="18.75" customHeight="1" spans="1:25">
      <c r="A3" s="157"/>
      <c r="B3" s="158"/>
      <c r="C3" s="158"/>
      <c r="D3" s="159"/>
      <c r="E3" s="160"/>
      <c r="F3" s="161"/>
      <c r="G3" s="161"/>
      <c r="H3" s="43"/>
      <c r="I3" s="43"/>
      <c r="J3" s="43"/>
      <c r="K3" s="178"/>
      <c r="L3" s="179"/>
      <c r="M3" s="161"/>
      <c r="N3" s="180" t="s">
        <v>2</v>
      </c>
      <c r="O3" s="178"/>
      <c r="P3" s="181"/>
      <c r="Q3" s="181"/>
      <c r="R3" s="190"/>
      <c r="S3" s="190"/>
      <c r="T3" s="190"/>
      <c r="U3" s="191"/>
      <c r="V3" s="191"/>
      <c r="W3" s="190"/>
      <c r="X3" s="154"/>
      <c r="Y3" s="130"/>
    </row>
    <row r="4" s="22" customFormat="1" ht="21.75" customHeight="1" spans="1:25">
      <c r="A4" s="47" t="s">
        <v>3</v>
      </c>
      <c r="B4" s="48" t="s">
        <v>34</v>
      </c>
      <c r="C4" s="48" t="s">
        <v>35</v>
      </c>
      <c r="D4" s="48" t="s">
        <v>1157</v>
      </c>
      <c r="E4" s="48" t="s">
        <v>37</v>
      </c>
      <c r="F4" s="162" t="s">
        <v>1158</v>
      </c>
      <c r="G4" s="163" t="s">
        <v>1284</v>
      </c>
      <c r="H4" s="48" t="s">
        <v>38</v>
      </c>
      <c r="I4" s="48" t="s">
        <v>39</v>
      </c>
      <c r="J4" s="48" t="s">
        <v>40</v>
      </c>
      <c r="K4" s="162" t="s">
        <v>41</v>
      </c>
      <c r="L4" s="162" t="s">
        <v>7</v>
      </c>
      <c r="M4" s="162" t="s">
        <v>8</v>
      </c>
      <c r="N4" s="166"/>
      <c r="O4" s="166"/>
      <c r="P4" s="163" t="s">
        <v>42</v>
      </c>
      <c r="Q4" s="163" t="s">
        <v>43</v>
      </c>
      <c r="R4" s="96" t="s">
        <v>1159</v>
      </c>
      <c r="S4" s="96" t="s">
        <v>1285</v>
      </c>
      <c r="T4" s="96" t="s">
        <v>9</v>
      </c>
      <c r="U4" s="96" t="s">
        <v>44</v>
      </c>
      <c r="V4" s="96" t="s">
        <v>1286</v>
      </c>
      <c r="W4" s="48" t="s">
        <v>10</v>
      </c>
      <c r="X4" s="192"/>
      <c r="Y4" s="192"/>
    </row>
    <row r="5" s="22" customFormat="1" ht="27.95" customHeight="1" spans="1:25">
      <c r="A5" s="164"/>
      <c r="B5" s="165"/>
      <c r="C5" s="165"/>
      <c r="D5" s="165"/>
      <c r="E5" s="165"/>
      <c r="F5" s="166"/>
      <c r="G5" s="167"/>
      <c r="H5" s="165"/>
      <c r="I5" s="165"/>
      <c r="J5" s="165"/>
      <c r="K5" s="182"/>
      <c r="L5" s="183"/>
      <c r="M5" s="162" t="s">
        <v>12</v>
      </c>
      <c r="N5" s="162" t="s">
        <v>45</v>
      </c>
      <c r="O5" s="162" t="s">
        <v>46</v>
      </c>
      <c r="P5" s="167"/>
      <c r="Q5" s="167"/>
      <c r="R5" s="97"/>
      <c r="S5" s="97"/>
      <c r="T5" s="97"/>
      <c r="U5" s="97"/>
      <c r="V5" s="97"/>
      <c r="W5" s="165"/>
      <c r="X5" s="192"/>
      <c r="Y5" s="192"/>
    </row>
    <row r="6" s="23" customFormat="1" ht="26.1" customHeight="1" spans="1:24">
      <c r="A6" s="168">
        <v>1</v>
      </c>
      <c r="B6" s="168">
        <v>2</v>
      </c>
      <c r="C6" s="168">
        <v>3</v>
      </c>
      <c r="D6" s="168">
        <v>4</v>
      </c>
      <c r="E6" s="168">
        <v>5</v>
      </c>
      <c r="F6" s="168">
        <v>6</v>
      </c>
      <c r="G6" s="168">
        <v>7</v>
      </c>
      <c r="H6" s="168">
        <v>8</v>
      </c>
      <c r="I6" s="168">
        <v>9</v>
      </c>
      <c r="J6" s="168">
        <v>10</v>
      </c>
      <c r="K6" s="168">
        <v>11</v>
      </c>
      <c r="L6" s="168">
        <v>12</v>
      </c>
      <c r="M6" s="168">
        <v>13</v>
      </c>
      <c r="N6" s="168">
        <v>14</v>
      </c>
      <c r="O6" s="168">
        <v>15</v>
      </c>
      <c r="P6" s="168">
        <v>16</v>
      </c>
      <c r="Q6" s="168">
        <v>17</v>
      </c>
      <c r="R6" s="168">
        <v>16</v>
      </c>
      <c r="S6" s="168">
        <v>17</v>
      </c>
      <c r="T6" s="168">
        <v>20</v>
      </c>
      <c r="U6" s="168">
        <v>16</v>
      </c>
      <c r="V6" s="168">
        <v>19</v>
      </c>
      <c r="W6" s="168">
        <v>17</v>
      </c>
      <c r="X6" s="192"/>
    </row>
    <row r="7" s="105" customFormat="1" ht="35.1" customHeight="1" spans="1:24">
      <c r="A7" s="51" t="s">
        <v>1287</v>
      </c>
      <c r="B7" s="52"/>
      <c r="C7" s="52"/>
      <c r="D7" s="52"/>
      <c r="E7" s="53"/>
      <c r="F7" s="169">
        <f>SUM(F8:F25)</f>
        <v>161259.86</v>
      </c>
      <c r="G7" s="169"/>
      <c r="H7" s="169"/>
      <c r="I7" s="184"/>
      <c r="J7" s="184"/>
      <c r="K7" s="169">
        <f>SUM(K8:K25)</f>
        <v>100783.521176471</v>
      </c>
      <c r="L7" s="169">
        <f>SUM(L8:L25)</f>
        <v>98105.9511764706</v>
      </c>
      <c r="M7" s="169">
        <f>SUM(M8:M25)</f>
        <v>82321.82</v>
      </c>
      <c r="N7" s="169">
        <f>SUM(N8:N25)</f>
        <v>64321.82</v>
      </c>
      <c r="O7" s="169">
        <f>SUM(O8:O25)</f>
        <v>18000</v>
      </c>
      <c r="P7" s="169">
        <f>SUM(P8:P24)</f>
        <v>34762</v>
      </c>
      <c r="Q7" s="169">
        <f>SUM(Q8:Q24)</f>
        <v>38924.82</v>
      </c>
      <c r="R7" s="193"/>
      <c r="S7" s="193"/>
      <c r="T7" s="184">
        <f>SUM(T8:T25)</f>
        <v>12700</v>
      </c>
      <c r="U7" s="194"/>
      <c r="V7" s="194"/>
      <c r="W7" s="193"/>
      <c r="X7" s="195"/>
    </row>
    <row r="8" s="143" customFormat="1" ht="323" customHeight="1" spans="1:33">
      <c r="A8" s="56">
        <v>1</v>
      </c>
      <c r="B8" s="65" t="s">
        <v>1288</v>
      </c>
      <c r="C8" s="65" t="s">
        <v>24</v>
      </c>
      <c r="D8" s="65" t="s">
        <v>58</v>
      </c>
      <c r="E8" s="69" t="s">
        <v>1289</v>
      </c>
      <c r="F8" s="68">
        <v>9320.92</v>
      </c>
      <c r="G8" s="170">
        <v>45261</v>
      </c>
      <c r="H8" s="68" t="s">
        <v>364</v>
      </c>
      <c r="I8" s="176" t="s">
        <v>1290</v>
      </c>
      <c r="J8" s="85" t="s">
        <v>1291</v>
      </c>
      <c r="K8" s="185">
        <v>9320.92</v>
      </c>
      <c r="L8" s="185">
        <v>9320.92</v>
      </c>
      <c r="M8" s="60">
        <v>7000</v>
      </c>
      <c r="N8" s="60">
        <v>7000</v>
      </c>
      <c r="O8" s="60">
        <v>0</v>
      </c>
      <c r="P8" s="185">
        <v>6000</v>
      </c>
      <c r="Q8" s="185">
        <v>1000</v>
      </c>
      <c r="R8" s="196">
        <v>1</v>
      </c>
      <c r="S8" s="197" t="s">
        <v>1292</v>
      </c>
      <c r="T8" s="60">
        <f>VLOOKUP(B8,[2]新建项目!$B:$T,19,FALSE)</f>
        <v>0</v>
      </c>
      <c r="U8" s="198" t="s">
        <v>62</v>
      </c>
      <c r="V8" s="199" t="s">
        <v>1293</v>
      </c>
      <c r="W8" s="200" t="s">
        <v>63</v>
      </c>
      <c r="X8" s="154" t="s">
        <v>1293</v>
      </c>
      <c r="Y8" s="205">
        <f t="shared" ref="Y8:Y22" si="0">P8+Q8-M8</f>
        <v>0</v>
      </c>
      <c r="Z8" s="21"/>
      <c r="AA8" s="21"/>
      <c r="AB8" s="21"/>
      <c r="AC8" s="21"/>
      <c r="AD8" s="21"/>
      <c r="AE8" s="21"/>
      <c r="AF8" s="21"/>
      <c r="AG8" s="21"/>
    </row>
    <row r="9" s="28" customFormat="1" ht="118" customHeight="1" spans="1:25">
      <c r="A9" s="56">
        <v>2</v>
      </c>
      <c r="B9" s="72" t="s">
        <v>1294</v>
      </c>
      <c r="C9" s="72" t="s">
        <v>24</v>
      </c>
      <c r="D9" s="72" t="s">
        <v>58</v>
      </c>
      <c r="E9" s="171" t="s">
        <v>1295</v>
      </c>
      <c r="F9" s="172">
        <v>3500</v>
      </c>
      <c r="G9" s="170">
        <v>45383</v>
      </c>
      <c r="H9" s="173" t="s">
        <v>364</v>
      </c>
      <c r="I9" s="186" t="s">
        <v>1290</v>
      </c>
      <c r="J9" s="85" t="s">
        <v>310</v>
      </c>
      <c r="K9" s="60">
        <v>1600</v>
      </c>
      <c r="L9" s="60">
        <v>1600</v>
      </c>
      <c r="M9" s="60">
        <f>N9+O9</f>
        <v>1360</v>
      </c>
      <c r="N9" s="60">
        <v>1360</v>
      </c>
      <c r="O9" s="60">
        <v>0</v>
      </c>
      <c r="P9" s="187">
        <v>700</v>
      </c>
      <c r="Q9" s="187">
        <v>900</v>
      </c>
      <c r="R9" s="196">
        <v>2</v>
      </c>
      <c r="S9" s="197" t="s">
        <v>1296</v>
      </c>
      <c r="T9" s="60">
        <f>VLOOKUP(B9,[2]新建项目!$B:$T,19,FALSE)</f>
        <v>0</v>
      </c>
      <c r="U9" s="72" t="s">
        <v>62</v>
      </c>
      <c r="V9" s="201" t="s">
        <v>1297</v>
      </c>
      <c r="W9" s="200" t="s">
        <v>63</v>
      </c>
      <c r="X9" s="202" t="s">
        <v>1297</v>
      </c>
      <c r="Y9" s="205">
        <f t="shared" si="0"/>
        <v>240</v>
      </c>
    </row>
    <row r="10" s="28" customFormat="1" ht="199" customHeight="1" spans="1:25">
      <c r="A10" s="56">
        <v>3</v>
      </c>
      <c r="B10" s="72" t="s">
        <v>1298</v>
      </c>
      <c r="C10" s="72" t="s">
        <v>24</v>
      </c>
      <c r="D10" s="72" t="s">
        <v>58</v>
      </c>
      <c r="E10" s="171" t="s">
        <v>1299</v>
      </c>
      <c r="F10" s="172">
        <v>4504.42</v>
      </c>
      <c r="G10" s="170">
        <v>45413</v>
      </c>
      <c r="H10" s="173" t="s">
        <v>364</v>
      </c>
      <c r="I10" s="186" t="s">
        <v>1290</v>
      </c>
      <c r="J10" s="85" t="s">
        <v>310</v>
      </c>
      <c r="K10" s="60">
        <v>2613.5</v>
      </c>
      <c r="L10" s="60">
        <v>2613.5</v>
      </c>
      <c r="M10" s="60">
        <v>2134.32</v>
      </c>
      <c r="N10" s="60">
        <v>2134.32</v>
      </c>
      <c r="O10" s="60">
        <v>0</v>
      </c>
      <c r="P10" s="187">
        <v>800</v>
      </c>
      <c r="Q10" s="187">
        <v>1334.32</v>
      </c>
      <c r="R10" s="196">
        <v>3</v>
      </c>
      <c r="S10" s="197" t="s">
        <v>1300</v>
      </c>
      <c r="T10" s="60">
        <f>VLOOKUP(B10,[2]新建项目!$B:$T,19,FALSE)</f>
        <v>0</v>
      </c>
      <c r="U10" s="72" t="s">
        <v>62</v>
      </c>
      <c r="V10" s="201" t="s">
        <v>1301</v>
      </c>
      <c r="W10" s="200" t="s">
        <v>63</v>
      </c>
      <c r="X10" s="202" t="s">
        <v>1301</v>
      </c>
      <c r="Y10" s="205">
        <f t="shared" si="0"/>
        <v>0</v>
      </c>
    </row>
    <row r="11" s="28" customFormat="1" ht="187" customHeight="1" spans="1:25">
      <c r="A11" s="56">
        <v>4</v>
      </c>
      <c r="B11" s="72" t="s">
        <v>1302</v>
      </c>
      <c r="C11" s="72" t="s">
        <v>24</v>
      </c>
      <c r="D11" s="72" t="s">
        <v>58</v>
      </c>
      <c r="E11" s="171" t="s">
        <v>1303</v>
      </c>
      <c r="F11" s="172">
        <v>4566.55</v>
      </c>
      <c r="G11" s="170">
        <v>45383</v>
      </c>
      <c r="H11" s="173" t="s">
        <v>364</v>
      </c>
      <c r="I11" s="186" t="s">
        <v>1290</v>
      </c>
      <c r="J11" s="85" t="s">
        <v>310</v>
      </c>
      <c r="K11" s="60">
        <v>4566.55</v>
      </c>
      <c r="L11" s="60">
        <v>4566.55</v>
      </c>
      <c r="M11" s="60">
        <v>3800</v>
      </c>
      <c r="N11" s="60">
        <v>3800</v>
      </c>
      <c r="O11" s="60">
        <v>0</v>
      </c>
      <c r="P11" s="187">
        <v>1200</v>
      </c>
      <c r="Q11" s="187">
        <v>2600</v>
      </c>
      <c r="R11" s="196">
        <v>4</v>
      </c>
      <c r="S11" s="197" t="s">
        <v>1300</v>
      </c>
      <c r="T11" s="60">
        <f>VLOOKUP(B11,[2]新建项目!$B:$T,19,FALSE)</f>
        <v>0</v>
      </c>
      <c r="U11" s="72" t="s">
        <v>62</v>
      </c>
      <c r="V11" s="201" t="s">
        <v>1301</v>
      </c>
      <c r="W11" s="200" t="s">
        <v>63</v>
      </c>
      <c r="X11" s="202" t="s">
        <v>1301</v>
      </c>
      <c r="Y11" s="205">
        <f t="shared" si="0"/>
        <v>0</v>
      </c>
    </row>
    <row r="12" s="28" customFormat="1" ht="126" customHeight="1" spans="1:25">
      <c r="A12" s="56">
        <v>5</v>
      </c>
      <c r="B12" s="65" t="s">
        <v>1304</v>
      </c>
      <c r="C12" s="65" t="s">
        <v>24</v>
      </c>
      <c r="D12" s="65" t="s">
        <v>140</v>
      </c>
      <c r="E12" s="69" t="s">
        <v>1305</v>
      </c>
      <c r="F12" s="68">
        <v>3084.9</v>
      </c>
      <c r="G12" s="170">
        <v>45352</v>
      </c>
      <c r="H12" s="67" t="s">
        <v>364</v>
      </c>
      <c r="I12" s="176" t="s">
        <v>1290</v>
      </c>
      <c r="J12" s="85" t="s">
        <v>310</v>
      </c>
      <c r="K12" s="185">
        <v>2850</v>
      </c>
      <c r="L12" s="185">
        <v>2850</v>
      </c>
      <c r="M12" s="60">
        <f>N12+O12</f>
        <v>2422.5</v>
      </c>
      <c r="N12" s="185">
        <v>2422.5</v>
      </c>
      <c r="O12" s="185">
        <v>0</v>
      </c>
      <c r="P12" s="185">
        <v>1500</v>
      </c>
      <c r="Q12" s="185">
        <v>922.5</v>
      </c>
      <c r="R12" s="196">
        <v>5</v>
      </c>
      <c r="S12" s="197" t="s">
        <v>1306</v>
      </c>
      <c r="T12" s="60">
        <f>VLOOKUP(B12,[2]新建项目!$B:$T,19,FALSE)</f>
        <v>0</v>
      </c>
      <c r="U12" s="57" t="s">
        <v>62</v>
      </c>
      <c r="V12" s="59" t="s">
        <v>1307</v>
      </c>
      <c r="W12" s="200"/>
      <c r="X12" s="202" t="s">
        <v>1307</v>
      </c>
      <c r="Y12" s="205">
        <f t="shared" si="0"/>
        <v>0</v>
      </c>
    </row>
    <row r="13" s="28" customFormat="1" ht="202" customHeight="1" spans="1:25">
      <c r="A13" s="56">
        <v>6</v>
      </c>
      <c r="B13" s="72" t="s">
        <v>1308</v>
      </c>
      <c r="C13" s="72" t="s">
        <v>26</v>
      </c>
      <c r="D13" s="72" t="s">
        <v>58</v>
      </c>
      <c r="E13" s="171" t="s">
        <v>1309</v>
      </c>
      <c r="F13" s="172">
        <v>15948.78</v>
      </c>
      <c r="G13" s="170">
        <v>45292</v>
      </c>
      <c r="H13" s="173" t="s">
        <v>364</v>
      </c>
      <c r="I13" s="186" t="s">
        <v>1290</v>
      </c>
      <c r="J13" s="72" t="s">
        <v>1310</v>
      </c>
      <c r="K13" s="60">
        <v>12000</v>
      </c>
      <c r="L13" s="60">
        <v>12000</v>
      </c>
      <c r="M13" s="60">
        <f>N13+O13</f>
        <v>9600</v>
      </c>
      <c r="N13" s="60">
        <v>9600</v>
      </c>
      <c r="O13" s="60">
        <v>0</v>
      </c>
      <c r="P13" s="187">
        <f>VLOOKUP(B13,[1]新建项目!$B:$O,14,FALSE)</f>
        <v>4500</v>
      </c>
      <c r="Q13" s="187">
        <f>VLOOKUP(B13,[1]新建项目!$B:$P,15,FALSE)</f>
        <v>5100</v>
      </c>
      <c r="R13" s="196">
        <v>6</v>
      </c>
      <c r="S13" s="201" t="s">
        <v>1311</v>
      </c>
      <c r="T13" s="60">
        <f>VLOOKUP(B13,[2]新建项目!$B:$T,19,FALSE)</f>
        <v>6000</v>
      </c>
      <c r="U13" s="72" t="s">
        <v>55</v>
      </c>
      <c r="V13" s="201" t="s">
        <v>1312</v>
      </c>
      <c r="W13" s="200"/>
      <c r="X13" s="202" t="s">
        <v>1312</v>
      </c>
      <c r="Y13" s="205">
        <f t="shared" si="0"/>
        <v>0</v>
      </c>
    </row>
    <row r="14" s="28" customFormat="1" ht="121" customHeight="1" spans="1:25">
      <c r="A14" s="56">
        <v>7</v>
      </c>
      <c r="B14" s="62" t="s">
        <v>1313</v>
      </c>
      <c r="C14" s="62" t="s">
        <v>24</v>
      </c>
      <c r="D14" s="62" t="s">
        <v>50</v>
      </c>
      <c r="E14" s="63" t="s">
        <v>1314</v>
      </c>
      <c r="F14" s="89">
        <v>3000</v>
      </c>
      <c r="G14" s="106">
        <v>45444</v>
      </c>
      <c r="H14" s="89" t="s">
        <v>1315</v>
      </c>
      <c r="I14" s="176" t="s">
        <v>1290</v>
      </c>
      <c r="J14" s="85" t="s">
        <v>310</v>
      </c>
      <c r="K14" s="89">
        <v>2100</v>
      </c>
      <c r="L14" s="89">
        <v>2100</v>
      </c>
      <c r="M14" s="60">
        <f>N14+O14</f>
        <v>1600</v>
      </c>
      <c r="N14" s="89">
        <v>1600</v>
      </c>
      <c r="O14" s="89">
        <v>0</v>
      </c>
      <c r="P14" s="185">
        <v>0</v>
      </c>
      <c r="Q14" s="185">
        <v>1600</v>
      </c>
      <c r="R14" s="196">
        <v>7</v>
      </c>
      <c r="S14" s="197" t="s">
        <v>1316</v>
      </c>
      <c r="T14" s="60">
        <f>VLOOKUP(B14,[2]新建项目!$B:$T,19,FALSE)</f>
        <v>0</v>
      </c>
      <c r="U14" s="72" t="s">
        <v>62</v>
      </c>
      <c r="V14" s="201" t="s">
        <v>1317</v>
      </c>
      <c r="W14" s="200" t="s">
        <v>63</v>
      </c>
      <c r="X14" s="202" t="s">
        <v>1317</v>
      </c>
      <c r="Y14" s="205">
        <f t="shared" si="0"/>
        <v>0</v>
      </c>
    </row>
    <row r="15" s="28" customFormat="1" ht="126" customHeight="1" spans="1:25">
      <c r="A15" s="56">
        <v>8</v>
      </c>
      <c r="B15" s="61" t="s">
        <v>1318</v>
      </c>
      <c r="C15" s="61" t="s">
        <v>26</v>
      </c>
      <c r="D15" s="61" t="s">
        <v>140</v>
      </c>
      <c r="E15" s="171" t="s">
        <v>1319</v>
      </c>
      <c r="F15" s="174">
        <v>8000</v>
      </c>
      <c r="G15" s="170">
        <v>45413</v>
      </c>
      <c r="H15" s="174" t="s">
        <v>364</v>
      </c>
      <c r="I15" s="176" t="s">
        <v>1290</v>
      </c>
      <c r="J15" s="85" t="s">
        <v>310</v>
      </c>
      <c r="K15" s="174">
        <v>2952.94117647059</v>
      </c>
      <c r="L15" s="174">
        <v>2952.94117647059</v>
      </c>
      <c r="M15" s="60">
        <f>N15+O15</f>
        <v>2510</v>
      </c>
      <c r="N15" s="174">
        <v>2510</v>
      </c>
      <c r="O15" s="174">
        <v>0</v>
      </c>
      <c r="P15" s="187">
        <f>VLOOKUP(B15,[1]新建项目!$B:$O,14,FALSE)</f>
        <v>575</v>
      </c>
      <c r="Q15" s="187">
        <f>VLOOKUP(B15,[1]新建项目!$B:$P,15,FALSE)</f>
        <v>1935</v>
      </c>
      <c r="R15" s="196">
        <v>8</v>
      </c>
      <c r="S15" s="201" t="s">
        <v>1320</v>
      </c>
      <c r="T15" s="60">
        <f>VLOOKUP(B15,[2]新建项目!$B:$T,19,FALSE)</f>
        <v>1000</v>
      </c>
      <c r="U15" s="72" t="s">
        <v>55</v>
      </c>
      <c r="V15" s="201" t="s">
        <v>1307</v>
      </c>
      <c r="W15" s="200"/>
      <c r="X15" s="202" t="s">
        <v>1307</v>
      </c>
      <c r="Y15" s="205">
        <f t="shared" si="0"/>
        <v>0</v>
      </c>
    </row>
    <row r="16" s="144" customFormat="1" ht="73" customHeight="1" spans="1:33">
      <c r="A16" s="56">
        <v>9</v>
      </c>
      <c r="B16" s="61" t="s">
        <v>1321</v>
      </c>
      <c r="C16" s="61" t="s">
        <v>26</v>
      </c>
      <c r="D16" s="61" t="s">
        <v>140</v>
      </c>
      <c r="E16" s="171" t="s">
        <v>1322</v>
      </c>
      <c r="F16" s="174">
        <v>2997.24</v>
      </c>
      <c r="G16" s="170">
        <v>45413</v>
      </c>
      <c r="H16" s="174" t="s">
        <v>364</v>
      </c>
      <c r="I16" s="176" t="s">
        <v>1290</v>
      </c>
      <c r="J16" s="85" t="s">
        <v>310</v>
      </c>
      <c r="K16" s="174">
        <v>2997.24</v>
      </c>
      <c r="L16" s="174">
        <v>2997.24</v>
      </c>
      <c r="M16" s="60">
        <v>2500</v>
      </c>
      <c r="N16" s="174">
        <v>2500</v>
      </c>
      <c r="O16" s="174">
        <v>0</v>
      </c>
      <c r="P16" s="187">
        <f>VLOOKUP(B16,[1]新建项目!$B:$O,14,FALSE)</f>
        <v>1067.5</v>
      </c>
      <c r="Q16" s="187">
        <f>VLOOKUP(B16,[1]新建项目!$B:$P,15,FALSE)</f>
        <v>1432.5</v>
      </c>
      <c r="R16" s="196">
        <v>9</v>
      </c>
      <c r="S16" s="201" t="s">
        <v>1323</v>
      </c>
      <c r="T16" s="60">
        <f>VLOOKUP(B16,[2]新建项目!$B:$T,19,FALSE)</f>
        <v>1900</v>
      </c>
      <c r="U16" s="72" t="s">
        <v>55</v>
      </c>
      <c r="V16" s="201" t="s">
        <v>1307</v>
      </c>
      <c r="W16" s="200"/>
      <c r="X16" s="202" t="s">
        <v>1307</v>
      </c>
      <c r="Y16" s="205">
        <f t="shared" si="0"/>
        <v>0</v>
      </c>
      <c r="Z16" s="28"/>
      <c r="AA16" s="28"/>
      <c r="AB16" s="28"/>
      <c r="AC16" s="28"/>
      <c r="AD16" s="28"/>
      <c r="AE16" s="28"/>
      <c r="AF16" s="28"/>
      <c r="AG16" s="28"/>
    </row>
    <row r="17" s="145" customFormat="1" ht="169" customHeight="1" spans="1:33">
      <c r="A17" s="56">
        <v>10</v>
      </c>
      <c r="B17" s="58" t="s">
        <v>1324</v>
      </c>
      <c r="C17" s="58" t="s">
        <v>26</v>
      </c>
      <c r="D17" s="58" t="s">
        <v>209</v>
      </c>
      <c r="E17" s="71" t="s">
        <v>1325</v>
      </c>
      <c r="F17" s="89">
        <v>654.8</v>
      </c>
      <c r="G17" s="170">
        <v>45444</v>
      </c>
      <c r="H17" s="89" t="s">
        <v>105</v>
      </c>
      <c r="I17" s="176" t="s">
        <v>1290</v>
      </c>
      <c r="J17" s="85" t="s">
        <v>310</v>
      </c>
      <c r="K17" s="89">
        <v>654.8</v>
      </c>
      <c r="L17" s="89">
        <v>654.8</v>
      </c>
      <c r="M17" s="60">
        <v>520</v>
      </c>
      <c r="N17" s="89">
        <v>520</v>
      </c>
      <c r="O17" s="89">
        <v>0</v>
      </c>
      <c r="P17" s="187">
        <f>VLOOKUP(B17,[1]新建项目!$B:$O,14,FALSE)</f>
        <v>260</v>
      </c>
      <c r="Q17" s="187">
        <f>VLOOKUP(B17,[1]新建项目!$B:$P,15,FALSE)</f>
        <v>260</v>
      </c>
      <c r="R17" s="196">
        <v>10</v>
      </c>
      <c r="S17" s="201" t="s">
        <v>1326</v>
      </c>
      <c r="T17" s="60">
        <f>VLOOKUP(B17,[2]新建项目!$B:$T,19,FALSE)</f>
        <v>300</v>
      </c>
      <c r="U17" s="72" t="s">
        <v>55</v>
      </c>
      <c r="V17" s="201" t="s">
        <v>1327</v>
      </c>
      <c r="W17" s="200"/>
      <c r="X17" s="202" t="s">
        <v>1327</v>
      </c>
      <c r="Y17" s="205">
        <f t="shared" si="0"/>
        <v>0</v>
      </c>
      <c r="Z17" s="28"/>
      <c r="AA17" s="28"/>
      <c r="AB17" s="28"/>
      <c r="AC17" s="28"/>
      <c r="AD17" s="28"/>
      <c r="AE17" s="28"/>
      <c r="AF17" s="28"/>
      <c r="AG17" s="28"/>
    </row>
    <row r="18" s="145" customFormat="1" ht="194" customHeight="1" spans="1:33">
      <c r="A18" s="56">
        <v>11</v>
      </c>
      <c r="B18" s="62" t="s">
        <v>1328</v>
      </c>
      <c r="C18" s="175" t="s">
        <v>24</v>
      </c>
      <c r="D18" s="57" t="s">
        <v>140</v>
      </c>
      <c r="E18" s="63" t="s">
        <v>1329</v>
      </c>
      <c r="F18" s="68">
        <v>17848.36</v>
      </c>
      <c r="G18" s="170">
        <v>45292</v>
      </c>
      <c r="H18" s="67" t="s">
        <v>1179</v>
      </c>
      <c r="I18" s="176" t="s">
        <v>1290</v>
      </c>
      <c r="J18" s="85" t="s">
        <v>310</v>
      </c>
      <c r="K18" s="185">
        <v>11000</v>
      </c>
      <c r="L18" s="109">
        <v>10500</v>
      </c>
      <c r="M18" s="60">
        <v>9900</v>
      </c>
      <c r="N18" s="185">
        <v>9900</v>
      </c>
      <c r="O18" s="185">
        <v>0</v>
      </c>
      <c r="P18" s="185">
        <v>4459.5</v>
      </c>
      <c r="Q18" s="185">
        <v>5440.5</v>
      </c>
      <c r="R18" s="196">
        <v>11</v>
      </c>
      <c r="S18" s="197" t="s">
        <v>1330</v>
      </c>
      <c r="T18" s="60">
        <f>VLOOKUP(B18,[2]新建项目!$B:$T,19,FALSE)</f>
        <v>0</v>
      </c>
      <c r="U18" s="57" t="s">
        <v>107</v>
      </c>
      <c r="V18" s="59" t="s">
        <v>1312</v>
      </c>
      <c r="W18" s="200" t="s">
        <v>63</v>
      </c>
      <c r="X18" s="202" t="s">
        <v>1312</v>
      </c>
      <c r="Y18" s="205">
        <f t="shared" si="0"/>
        <v>0</v>
      </c>
      <c r="Z18" s="143"/>
      <c r="AA18" s="143"/>
      <c r="AB18" s="143"/>
      <c r="AC18" s="143"/>
      <c r="AD18" s="143"/>
      <c r="AE18" s="143"/>
      <c r="AF18" s="143"/>
      <c r="AG18" s="143"/>
    </row>
    <row r="19" s="145" customFormat="1" ht="308" customHeight="1" spans="1:33">
      <c r="A19" s="56">
        <v>12</v>
      </c>
      <c r="B19" s="62" t="s">
        <v>1331</v>
      </c>
      <c r="C19" s="62" t="s">
        <v>27</v>
      </c>
      <c r="D19" s="62" t="s">
        <v>140</v>
      </c>
      <c r="E19" s="63" t="s">
        <v>1332</v>
      </c>
      <c r="F19" s="89">
        <v>30996.32</v>
      </c>
      <c r="G19" s="170">
        <v>45261</v>
      </c>
      <c r="H19" s="89" t="s">
        <v>1179</v>
      </c>
      <c r="I19" s="176" t="s">
        <v>1290</v>
      </c>
      <c r="J19" s="85" t="s">
        <v>310</v>
      </c>
      <c r="K19" s="89">
        <v>22000</v>
      </c>
      <c r="L19" s="89">
        <v>20000</v>
      </c>
      <c r="M19" s="60">
        <f t="shared" ref="M19:M24" si="1">N19+O19</f>
        <v>18000</v>
      </c>
      <c r="N19" s="89">
        <v>0</v>
      </c>
      <c r="O19" s="60">
        <v>18000</v>
      </c>
      <c r="P19" s="60">
        <v>9000</v>
      </c>
      <c r="Q19" s="60">
        <v>9000</v>
      </c>
      <c r="R19" s="196">
        <v>12</v>
      </c>
      <c r="S19" s="201" t="s">
        <v>1333</v>
      </c>
      <c r="T19" s="60">
        <f>VLOOKUP(B19,[2]新建项目!$B:$T,19,FALSE)</f>
        <v>2000</v>
      </c>
      <c r="U19" s="72" t="s">
        <v>95</v>
      </c>
      <c r="V19" s="201" t="s">
        <v>1334</v>
      </c>
      <c r="W19" s="200" t="s">
        <v>1335</v>
      </c>
      <c r="X19" s="202" t="s">
        <v>1334</v>
      </c>
      <c r="Y19" s="205">
        <f t="shared" si="0"/>
        <v>0</v>
      </c>
      <c r="Z19" s="21"/>
      <c r="AA19" s="21"/>
      <c r="AB19" s="21"/>
      <c r="AC19" s="21"/>
      <c r="AD19" s="21"/>
      <c r="AE19" s="21"/>
      <c r="AF19" s="21"/>
      <c r="AG19" s="21"/>
    </row>
    <row r="20" s="145" customFormat="1" ht="285" customHeight="1" spans="1:33">
      <c r="A20" s="56">
        <v>13</v>
      </c>
      <c r="B20" s="65" t="s">
        <v>1336</v>
      </c>
      <c r="C20" s="65" t="s">
        <v>24</v>
      </c>
      <c r="D20" s="65" t="s">
        <v>140</v>
      </c>
      <c r="E20" s="66" t="s">
        <v>1337</v>
      </c>
      <c r="F20" s="68">
        <v>3485</v>
      </c>
      <c r="G20" s="170">
        <v>45413</v>
      </c>
      <c r="H20" s="68" t="s">
        <v>1315</v>
      </c>
      <c r="I20" s="176" t="s">
        <v>1290</v>
      </c>
      <c r="J20" s="85" t="s">
        <v>310</v>
      </c>
      <c r="K20" s="185">
        <v>2000</v>
      </c>
      <c r="L20" s="109">
        <v>2000</v>
      </c>
      <c r="M20" s="60">
        <f t="shared" si="1"/>
        <v>1700</v>
      </c>
      <c r="N20" s="185">
        <v>1700</v>
      </c>
      <c r="O20" s="185">
        <v>0</v>
      </c>
      <c r="P20" s="185">
        <v>500</v>
      </c>
      <c r="Q20" s="185">
        <v>1200</v>
      </c>
      <c r="R20" s="196">
        <v>13</v>
      </c>
      <c r="S20" s="197" t="s">
        <v>1338</v>
      </c>
      <c r="T20" s="60">
        <f>VLOOKUP(B20,[2]新建项目!$B:$T,19,FALSE)</f>
        <v>0</v>
      </c>
      <c r="U20" s="57" t="s">
        <v>62</v>
      </c>
      <c r="V20" s="59" t="s">
        <v>1307</v>
      </c>
      <c r="W20" s="200" t="s">
        <v>63</v>
      </c>
      <c r="X20" s="202" t="s">
        <v>1307</v>
      </c>
      <c r="Y20" s="205">
        <f t="shared" si="0"/>
        <v>0</v>
      </c>
      <c r="Z20" s="28"/>
      <c r="AA20" s="28"/>
      <c r="AB20" s="28"/>
      <c r="AC20" s="28"/>
      <c r="AD20" s="28"/>
      <c r="AE20" s="28"/>
      <c r="AF20" s="28"/>
      <c r="AG20" s="28"/>
    </row>
    <row r="21" s="145" customFormat="1" ht="158" customHeight="1" spans="1:33">
      <c r="A21" s="56">
        <v>14</v>
      </c>
      <c r="B21" s="58" t="s">
        <v>1339</v>
      </c>
      <c r="C21" s="58" t="s">
        <v>24</v>
      </c>
      <c r="D21" s="58" t="s">
        <v>58</v>
      </c>
      <c r="E21" s="71" t="s">
        <v>1340</v>
      </c>
      <c r="F21" s="89">
        <v>3400</v>
      </c>
      <c r="G21" s="170">
        <v>45323</v>
      </c>
      <c r="H21" s="89" t="s">
        <v>364</v>
      </c>
      <c r="I21" s="176" t="s">
        <v>1290</v>
      </c>
      <c r="J21" s="85" t="s">
        <v>310</v>
      </c>
      <c r="K21" s="89">
        <v>1500</v>
      </c>
      <c r="L21" s="89">
        <v>1500</v>
      </c>
      <c r="M21" s="60">
        <f t="shared" si="1"/>
        <v>1275</v>
      </c>
      <c r="N21" s="89">
        <v>1275</v>
      </c>
      <c r="O21" s="89">
        <v>0</v>
      </c>
      <c r="P21" s="188"/>
      <c r="Q21" s="188"/>
      <c r="R21" s="196">
        <v>14</v>
      </c>
      <c r="S21" s="197" t="s">
        <v>1341</v>
      </c>
      <c r="T21" s="60">
        <f>VLOOKUP(B21,[2]新建项目!$B:$T,19,FALSE)</f>
        <v>0</v>
      </c>
      <c r="U21" s="203" t="s">
        <v>62</v>
      </c>
      <c r="V21" s="204" t="s">
        <v>1301</v>
      </c>
      <c r="W21" s="200" t="s">
        <v>63</v>
      </c>
      <c r="X21" s="202" t="s">
        <v>1301</v>
      </c>
      <c r="Y21" s="130"/>
      <c r="Z21" s="21"/>
      <c r="AA21" s="21"/>
      <c r="AB21" s="21"/>
      <c r="AC21" s="21"/>
      <c r="AD21" s="21"/>
      <c r="AE21" s="21"/>
      <c r="AF21" s="21"/>
      <c r="AG21" s="21"/>
    </row>
    <row r="22" s="28" customFormat="1" ht="142" customHeight="1" spans="1:25">
      <c r="A22" s="56">
        <v>15</v>
      </c>
      <c r="B22" s="62" t="s">
        <v>1342</v>
      </c>
      <c r="C22" s="62" t="s">
        <v>24</v>
      </c>
      <c r="D22" s="62" t="s">
        <v>50</v>
      </c>
      <c r="E22" s="63" t="s">
        <v>1343</v>
      </c>
      <c r="F22" s="89">
        <v>18021</v>
      </c>
      <c r="G22" s="106">
        <v>45352</v>
      </c>
      <c r="H22" s="89" t="s">
        <v>1315</v>
      </c>
      <c r="I22" s="176" t="s">
        <v>1290</v>
      </c>
      <c r="J22" s="85" t="s">
        <v>310</v>
      </c>
      <c r="K22" s="89">
        <v>3000</v>
      </c>
      <c r="L22" s="89">
        <v>3000</v>
      </c>
      <c r="M22" s="60">
        <f t="shared" si="1"/>
        <v>2400</v>
      </c>
      <c r="N22" s="89">
        <v>2400</v>
      </c>
      <c r="O22" s="89">
        <v>0</v>
      </c>
      <c r="P22" s="185">
        <v>1200</v>
      </c>
      <c r="Q22" s="185">
        <v>1200</v>
      </c>
      <c r="R22" s="196">
        <v>15</v>
      </c>
      <c r="S22" s="197" t="s">
        <v>1344</v>
      </c>
      <c r="T22" s="60">
        <f>VLOOKUP(B22,[2]新建项目!$B:$T,19,FALSE)</f>
        <v>0</v>
      </c>
      <c r="U22" s="203" t="s">
        <v>62</v>
      </c>
      <c r="V22" s="204" t="s">
        <v>1317</v>
      </c>
      <c r="W22" s="200" t="s">
        <v>63</v>
      </c>
      <c r="X22" s="202" t="s">
        <v>1317</v>
      </c>
      <c r="Y22" s="205">
        <f>P22+Q22-M22</f>
        <v>0</v>
      </c>
    </row>
    <row r="23" s="28" customFormat="1" ht="163" customHeight="1" spans="1:25">
      <c r="A23" s="56">
        <v>16</v>
      </c>
      <c r="B23" s="72" t="s">
        <v>1345</v>
      </c>
      <c r="C23" s="72" t="s">
        <v>24</v>
      </c>
      <c r="D23" s="72" t="s">
        <v>209</v>
      </c>
      <c r="E23" s="171" t="s">
        <v>1346</v>
      </c>
      <c r="F23" s="172">
        <v>11304</v>
      </c>
      <c r="G23" s="170">
        <v>45444</v>
      </c>
      <c r="H23" s="173" t="s">
        <v>1179</v>
      </c>
      <c r="I23" s="186" t="s">
        <v>1290</v>
      </c>
      <c r="J23" s="72" t="s">
        <v>1347</v>
      </c>
      <c r="K23" s="60">
        <v>5000</v>
      </c>
      <c r="L23" s="60">
        <v>5000</v>
      </c>
      <c r="M23" s="60">
        <f t="shared" si="1"/>
        <v>4000</v>
      </c>
      <c r="N23" s="60">
        <v>4000</v>
      </c>
      <c r="O23" s="60">
        <v>0</v>
      </c>
      <c r="P23" s="187"/>
      <c r="Q23" s="187"/>
      <c r="R23" s="196">
        <v>16</v>
      </c>
      <c r="S23" s="197" t="s">
        <v>1348</v>
      </c>
      <c r="T23" s="60">
        <f>VLOOKUP(B23,[2]新建项目!$B:$T,19,FALSE)</f>
        <v>0</v>
      </c>
      <c r="U23" s="203" t="s">
        <v>62</v>
      </c>
      <c r="V23" s="204" t="s">
        <v>1307</v>
      </c>
      <c r="W23" s="200" t="s">
        <v>1222</v>
      </c>
      <c r="X23" s="202" t="s">
        <v>1307</v>
      </c>
      <c r="Y23" s="205"/>
    </row>
    <row r="24" s="28" customFormat="1" ht="148" customHeight="1" spans="1:25">
      <c r="A24" s="56">
        <v>17</v>
      </c>
      <c r="B24" s="61" t="s">
        <v>1349</v>
      </c>
      <c r="C24" s="61" t="s">
        <v>26</v>
      </c>
      <c r="D24" s="57" t="s">
        <v>58</v>
      </c>
      <c r="E24" s="171" t="s">
        <v>1350</v>
      </c>
      <c r="F24" s="172">
        <v>16000</v>
      </c>
      <c r="G24" s="170">
        <v>45444</v>
      </c>
      <c r="H24" s="176" t="s">
        <v>1351</v>
      </c>
      <c r="I24" s="176" t="s">
        <v>1290</v>
      </c>
      <c r="J24" s="85" t="s">
        <v>310</v>
      </c>
      <c r="K24" s="60">
        <v>10000</v>
      </c>
      <c r="L24" s="60">
        <v>10000</v>
      </c>
      <c r="M24" s="60">
        <f t="shared" si="1"/>
        <v>8000</v>
      </c>
      <c r="N24" s="60">
        <v>8000</v>
      </c>
      <c r="O24" s="60">
        <v>0</v>
      </c>
      <c r="P24" s="187">
        <f>VLOOKUP(B24,[1]新建项目!$B:$O,14,FALSE)</f>
        <v>3000</v>
      </c>
      <c r="Q24" s="187">
        <f>VLOOKUP(B24,[1]新建项目!$B:$P,15,FALSE)</f>
        <v>5000</v>
      </c>
      <c r="R24" s="196">
        <v>17</v>
      </c>
      <c r="S24" s="201" t="s">
        <v>1352</v>
      </c>
      <c r="T24" s="60">
        <f>VLOOKUP(B24,[2]新建项目!$B:$T,19,FALSE)</f>
        <v>1500</v>
      </c>
      <c r="U24" s="72" t="s">
        <v>55</v>
      </c>
      <c r="V24" s="201" t="s">
        <v>1317</v>
      </c>
      <c r="W24" s="200"/>
      <c r="X24" s="202" t="s">
        <v>1317</v>
      </c>
      <c r="Y24" s="205">
        <f>P24+Q24-M24</f>
        <v>0</v>
      </c>
    </row>
    <row r="25" s="21" customFormat="1" ht="298" customHeight="1" spans="1:33">
      <c r="A25" s="56">
        <v>18</v>
      </c>
      <c r="B25" s="58" t="s">
        <v>1353</v>
      </c>
      <c r="C25" s="58" t="s">
        <v>24</v>
      </c>
      <c r="D25" s="58" t="s">
        <v>209</v>
      </c>
      <c r="E25" s="71" t="s">
        <v>1354</v>
      </c>
      <c r="F25" s="89">
        <v>4627.57</v>
      </c>
      <c r="G25" s="170">
        <v>45383</v>
      </c>
      <c r="H25" s="89" t="s">
        <v>1179</v>
      </c>
      <c r="I25" s="176" t="s">
        <v>1290</v>
      </c>
      <c r="J25" s="85" t="s">
        <v>310</v>
      </c>
      <c r="K25" s="89">
        <v>4627.57</v>
      </c>
      <c r="L25" s="89">
        <v>4450</v>
      </c>
      <c r="M25" s="60">
        <v>3600</v>
      </c>
      <c r="N25" s="89">
        <v>3600</v>
      </c>
      <c r="O25" s="89">
        <v>0</v>
      </c>
      <c r="P25" s="185">
        <v>2000</v>
      </c>
      <c r="Q25" s="185">
        <v>1600</v>
      </c>
      <c r="R25" s="196">
        <v>18</v>
      </c>
      <c r="S25" s="197" t="s">
        <v>1355</v>
      </c>
      <c r="T25" s="60">
        <f>VLOOKUP(B25,[2]新建项目!$B:$T,19,FALSE)</f>
        <v>0</v>
      </c>
      <c r="U25" s="58" t="s">
        <v>62</v>
      </c>
      <c r="V25" s="71" t="s">
        <v>1307</v>
      </c>
      <c r="W25" s="200" t="s">
        <v>63</v>
      </c>
      <c r="X25" s="202" t="s">
        <v>1307</v>
      </c>
      <c r="Y25" s="205">
        <f>P25+Q25-M25</f>
        <v>0</v>
      </c>
      <c r="Z25" s="28"/>
      <c r="AA25" s="28"/>
      <c r="AB25" s="28"/>
      <c r="AC25" s="28"/>
      <c r="AD25" s="28"/>
      <c r="AE25" s="28"/>
      <c r="AF25" s="28"/>
      <c r="AG25" s="28"/>
    </row>
  </sheetData>
  <autoFilter ref="A5:AG25">
    <extLst/>
  </autoFilter>
  <sortState ref="A8:AG31">
    <sortCondition ref="R8:R31"/>
  </sortState>
  <mergeCells count="26">
    <mergeCell ref="A1:B1"/>
    <mergeCell ref="A2:W2"/>
    <mergeCell ref="D3:E3"/>
    <mergeCell ref="O3:W3"/>
    <mergeCell ref="M4:O4"/>
    <mergeCell ref="A7:E7"/>
    <mergeCell ref="A4:A5"/>
    <mergeCell ref="B4:B5"/>
    <mergeCell ref="C4:C5"/>
    <mergeCell ref="D4:D5"/>
    <mergeCell ref="E4:E5"/>
    <mergeCell ref="F4:F5"/>
    <mergeCell ref="G4:G5"/>
    <mergeCell ref="H4:H5"/>
    <mergeCell ref="I4:I5"/>
    <mergeCell ref="J4:J5"/>
    <mergeCell ref="K4:K5"/>
    <mergeCell ref="L4:L5"/>
    <mergeCell ref="P4:P5"/>
    <mergeCell ref="Q4:Q5"/>
    <mergeCell ref="R4:R5"/>
    <mergeCell ref="S4:S5"/>
    <mergeCell ref="T4:T5"/>
    <mergeCell ref="U4:U5"/>
    <mergeCell ref="V4:V5"/>
    <mergeCell ref="W4:W5"/>
  </mergeCells>
  <conditionalFormatting sqref="E9">
    <cfRule type="expression" dxfId="0" priority="11" stopIfTrue="1">
      <formula>AND(SUMPRODUCT(IFERROR(1*(($B$7:$B$64&amp;"x")=(E9&amp;"x")),0))&gt;1,NOT(ISBLANK(E9)))</formula>
    </cfRule>
  </conditionalFormatting>
  <conditionalFormatting sqref="F9">
    <cfRule type="expression" dxfId="0" priority="10" stopIfTrue="1">
      <formula>AND(SUMPRODUCT(IFERROR(1*(($B$7:$B$64&amp;"x")=(F9&amp;"x")),0))&gt;1,NOT(ISBLANK(F9)))</formula>
    </cfRule>
  </conditionalFormatting>
  <conditionalFormatting sqref="H9">
    <cfRule type="expression" dxfId="0" priority="9" stopIfTrue="1">
      <formula>AND(SUMPRODUCT(IFERROR(1*(($B$7:$B$64&amp;"x")=(H9&amp;"x")),0))&gt;1,NOT(ISBLANK(H9)))</formula>
    </cfRule>
  </conditionalFormatting>
  <conditionalFormatting sqref="E10">
    <cfRule type="expression" dxfId="0" priority="8" stopIfTrue="1">
      <formula>AND(SUMPRODUCT(IFERROR(1*(($B$7:$B$64&amp;"x")=(E10&amp;"x")),0))&gt;1,NOT(ISBLANK(E10)))</formula>
    </cfRule>
  </conditionalFormatting>
  <conditionalFormatting sqref="E11">
    <cfRule type="expression" dxfId="0" priority="7" stopIfTrue="1">
      <formula>AND(SUMPRODUCT(IFERROR(1*(($B$7:$B$64&amp;"x")=(E11&amp;"x")),0))&gt;1,NOT(ISBLANK(E11)))</formula>
    </cfRule>
  </conditionalFormatting>
  <conditionalFormatting sqref="I25">
    <cfRule type="expression" dxfId="0" priority="2" stopIfTrue="1">
      <formula>AND(SUMPRODUCT(IFERROR(1*(($B$7:$B$65&amp;"x")=(I25&amp;"x")),0))&gt;1,NOT(ISBLANK(I25)))</formula>
    </cfRule>
  </conditionalFormatting>
  <conditionalFormatting sqref="I16:I22">
    <cfRule type="expression" dxfId="0" priority="3" stopIfTrue="1">
      <formula>AND(SUMPRODUCT(IFERROR(1*(($B$7:$B$65&amp;"x")=(I16&amp;"x")),0))&gt;1,NOT(ISBLANK(I16)))</formula>
    </cfRule>
  </conditionalFormatting>
  <conditionalFormatting sqref="E8:F8 H8">
    <cfRule type="expression" dxfId="0" priority="5" stopIfTrue="1">
      <formula>AND(SUMPRODUCT(IFERROR(1*(($B$7:$B$54&amp;"x")=(E8&amp;"x")),0))&gt;1,NOT(ISBLANK(E8)))</formula>
    </cfRule>
  </conditionalFormatting>
  <conditionalFormatting sqref="C9 I9:I15 I23:I24">
    <cfRule type="expression" dxfId="0" priority="12" stopIfTrue="1">
      <formula>AND(SUMPRODUCT(IFERROR(1*(($B$7:$B$65&amp;"x")=(C9&amp;"x")),0))&gt;1,NOT(ISBLANK(C9)))</formula>
    </cfRule>
  </conditionalFormatting>
  <printOptions horizontalCentered="1"/>
  <pageMargins left="0.35" right="0.35" top="0.550694444444444" bottom="0.393055555555556" header="0.511805555555556" footer="0.389583333333333"/>
  <pageSetup paperSize="8" scale="91" fitToHeight="0" orientation="landscape" horizontalDpi="600" verticalDpi="600"/>
  <headerFooter alignWithMargins="0">
    <oddFooter>&amp;C&amp;"宋体"&amp;11第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W107"/>
  <sheetViews>
    <sheetView view="pageBreakPreview" zoomScale="70" zoomScaleNormal="100" workbookViewId="0">
      <pane ySplit="6" topLeftCell="A64" activePane="bottomLeft" state="frozen"/>
      <selection/>
      <selection pane="bottomLeft" activeCell="O7" sqref="O7"/>
    </sheetView>
  </sheetViews>
  <sheetFormatPr defaultColWidth="7.87962962962963" defaultRowHeight="25.8"/>
  <cols>
    <col min="1" max="1" width="7.25" style="29" customWidth="1"/>
    <col min="2" max="2" width="22.537037037037" style="30" customWidth="1"/>
    <col min="3" max="3" width="12.3796296296296" style="30" customWidth="1"/>
    <col min="4" max="4" width="9.25" style="30" customWidth="1"/>
    <col min="5" max="5" width="60.6296296296296" style="31" customWidth="1"/>
    <col min="6" max="6" width="16.6296296296296" style="32" customWidth="1"/>
    <col min="7" max="7" width="9.5" style="30" customWidth="1"/>
    <col min="8" max="8" width="7.37962962962963" style="30" customWidth="1"/>
    <col min="9" max="9" width="10.8148148148148" style="30" customWidth="1"/>
    <col min="10" max="11" width="12" style="30" customWidth="1"/>
    <col min="12" max="12" width="10.8796296296296" style="33" hidden="1" customWidth="1"/>
    <col min="13" max="13" width="10.9722222222222" style="34" hidden="1" customWidth="1"/>
    <col min="14" max="14" width="10" style="34" customWidth="1"/>
    <col min="15" max="15" width="10.8796296296296" style="35" customWidth="1"/>
    <col min="16" max="16" width="25.5555555555556" style="36" hidden="1" customWidth="1"/>
    <col min="17" max="251" width="7.87962962962963" style="37" customWidth="1"/>
    <col min="252" max="16384" width="7.87962962962963" style="26"/>
  </cols>
  <sheetData>
    <row r="1" spans="1:2">
      <c r="A1" s="38" t="s">
        <v>1356</v>
      </c>
      <c r="B1" s="38"/>
    </row>
    <row r="2" ht="26.4" spans="1:15">
      <c r="A2" s="39" t="s">
        <v>1357</v>
      </c>
      <c r="B2" s="39"/>
      <c r="C2" s="39"/>
      <c r="D2" s="39"/>
      <c r="E2" s="40"/>
      <c r="F2" s="41"/>
      <c r="G2" s="39"/>
      <c r="H2" s="39"/>
      <c r="I2" s="39"/>
      <c r="J2" s="39"/>
      <c r="K2" s="39"/>
      <c r="L2" s="39"/>
      <c r="M2" s="39"/>
      <c r="N2" s="39"/>
      <c r="O2" s="39"/>
    </row>
    <row r="3" s="21" customFormat="1" spans="1:253">
      <c r="A3" s="42"/>
      <c r="B3" s="43"/>
      <c r="C3" s="43"/>
      <c r="D3" s="43"/>
      <c r="E3" s="44"/>
      <c r="F3" s="45"/>
      <c r="G3" s="46"/>
      <c r="H3" s="43"/>
      <c r="I3" s="43"/>
      <c r="J3" s="43"/>
      <c r="K3" s="43"/>
      <c r="L3" s="93" t="s">
        <v>2</v>
      </c>
      <c r="M3" s="94"/>
      <c r="N3" s="95"/>
      <c r="O3" s="43"/>
      <c r="P3" s="36"/>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row>
    <row r="4" s="22" customFormat="1" spans="1:257">
      <c r="A4" s="47" t="s">
        <v>3</v>
      </c>
      <c r="B4" s="48" t="s">
        <v>34</v>
      </c>
      <c r="C4" s="48" t="s">
        <v>35</v>
      </c>
      <c r="D4" s="48" t="s">
        <v>1157</v>
      </c>
      <c r="E4" s="48" t="s">
        <v>37</v>
      </c>
      <c r="F4" s="49" t="s">
        <v>6</v>
      </c>
      <c r="G4" s="48" t="s">
        <v>38</v>
      </c>
      <c r="H4" s="48" t="s">
        <v>39</v>
      </c>
      <c r="I4" s="48" t="s">
        <v>1358</v>
      </c>
      <c r="J4" s="48" t="s">
        <v>1359</v>
      </c>
      <c r="K4" s="48" t="s">
        <v>1360</v>
      </c>
      <c r="L4" s="48" t="s">
        <v>1361</v>
      </c>
      <c r="M4" s="48" t="s">
        <v>1362</v>
      </c>
      <c r="N4" s="96" t="s">
        <v>44</v>
      </c>
      <c r="O4" s="47" t="s">
        <v>10</v>
      </c>
      <c r="P4" s="36"/>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31"/>
      <c r="IU4" s="131"/>
      <c r="IV4" s="131"/>
      <c r="IW4" s="131"/>
    </row>
    <row r="5" s="22" customFormat="1" spans="1:257">
      <c r="A5" s="47"/>
      <c r="B5" s="48"/>
      <c r="C5" s="48"/>
      <c r="D5" s="48"/>
      <c r="E5" s="48"/>
      <c r="F5" s="49"/>
      <c r="G5" s="48"/>
      <c r="H5" s="48"/>
      <c r="I5" s="48"/>
      <c r="J5" s="48"/>
      <c r="K5" s="48"/>
      <c r="L5" s="48"/>
      <c r="M5" s="48"/>
      <c r="N5" s="97"/>
      <c r="O5" s="47"/>
      <c r="P5" s="36"/>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31"/>
      <c r="IU5" s="131"/>
      <c r="IV5" s="131"/>
      <c r="IW5" s="131"/>
    </row>
    <row r="6" s="23" customFormat="1" ht="23" customHeight="1" spans="1:16">
      <c r="A6" s="50" t="s">
        <v>48</v>
      </c>
      <c r="B6" s="50" t="s">
        <v>56</v>
      </c>
      <c r="C6" s="50" t="s">
        <v>64</v>
      </c>
      <c r="D6" s="50" t="s">
        <v>70</v>
      </c>
      <c r="E6" s="50" t="s">
        <v>75</v>
      </c>
      <c r="F6" s="50" t="s">
        <v>80</v>
      </c>
      <c r="G6" s="50" t="s">
        <v>84</v>
      </c>
      <c r="H6" s="50" t="s">
        <v>90</v>
      </c>
      <c r="I6" s="50" t="s">
        <v>96</v>
      </c>
      <c r="J6" s="50" t="s">
        <v>102</v>
      </c>
      <c r="K6" s="50" t="s">
        <v>108</v>
      </c>
      <c r="L6" s="50" t="s">
        <v>114</v>
      </c>
      <c r="M6" s="50" t="s">
        <v>119</v>
      </c>
      <c r="N6" s="50" t="s">
        <v>114</v>
      </c>
      <c r="O6" s="50" t="s">
        <v>119</v>
      </c>
      <c r="P6" s="36"/>
    </row>
    <row r="7" ht="45.95" customHeight="1" spans="1:15">
      <c r="A7" s="51" t="s">
        <v>1363</v>
      </c>
      <c r="B7" s="52"/>
      <c r="C7" s="52"/>
      <c r="D7" s="52"/>
      <c r="E7" s="53"/>
      <c r="F7" s="54">
        <f>SUM(F8:F63,F84:F107)</f>
        <v>1052382.7288</v>
      </c>
      <c r="G7" s="55"/>
      <c r="H7" s="55"/>
      <c r="I7" s="55"/>
      <c r="J7" s="55"/>
      <c r="K7" s="55"/>
      <c r="L7" s="98"/>
      <c r="M7" s="98"/>
      <c r="N7" s="99"/>
      <c r="O7" s="100"/>
    </row>
    <row r="8" ht="58" customHeight="1" spans="1:15">
      <c r="A8" s="56">
        <v>1</v>
      </c>
      <c r="B8" s="57" t="s">
        <v>1364</v>
      </c>
      <c r="C8" s="58" t="s">
        <v>24</v>
      </c>
      <c r="D8" s="57" t="s">
        <v>140</v>
      </c>
      <c r="E8" s="59" t="s">
        <v>1365</v>
      </c>
      <c r="F8" s="60">
        <v>100000</v>
      </c>
      <c r="G8" s="57" t="s">
        <v>1366</v>
      </c>
      <c r="H8" s="61" t="s">
        <v>1367</v>
      </c>
      <c r="I8" s="55" t="s">
        <v>310</v>
      </c>
      <c r="J8" s="101">
        <v>45505</v>
      </c>
      <c r="K8" s="101">
        <v>45566</v>
      </c>
      <c r="L8" s="98"/>
      <c r="M8" s="98"/>
      <c r="N8" s="101" t="s">
        <v>62</v>
      </c>
      <c r="O8" s="102" t="s">
        <v>1222</v>
      </c>
    </row>
    <row r="9" s="24" customFormat="1" ht="132" customHeight="1" spans="1:251">
      <c r="A9" s="56">
        <v>2</v>
      </c>
      <c r="B9" s="57" t="s">
        <v>1368</v>
      </c>
      <c r="C9" s="58" t="s">
        <v>24</v>
      </c>
      <c r="D9" s="57" t="s">
        <v>110</v>
      </c>
      <c r="E9" s="59" t="s">
        <v>1369</v>
      </c>
      <c r="F9" s="60">
        <v>23842.08</v>
      </c>
      <c r="G9" s="57" t="s">
        <v>1351</v>
      </c>
      <c r="H9" s="61" t="s">
        <v>1367</v>
      </c>
      <c r="I9" s="55" t="s">
        <v>310</v>
      </c>
      <c r="J9" s="101">
        <v>45352</v>
      </c>
      <c r="K9" s="101">
        <v>45413</v>
      </c>
      <c r="L9" s="101"/>
      <c r="M9" s="101"/>
      <c r="N9" s="101" t="s">
        <v>62</v>
      </c>
      <c r="O9" s="102" t="s">
        <v>1222</v>
      </c>
      <c r="P9" s="103"/>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row>
    <row r="10" s="24" customFormat="1" ht="102" customHeight="1" spans="1:251">
      <c r="A10" s="56">
        <v>3</v>
      </c>
      <c r="B10" s="57" t="s">
        <v>1370</v>
      </c>
      <c r="C10" s="58" t="s">
        <v>24</v>
      </c>
      <c r="D10" s="57" t="s">
        <v>58</v>
      </c>
      <c r="E10" s="59" t="s">
        <v>1371</v>
      </c>
      <c r="F10" s="60">
        <v>4300</v>
      </c>
      <c r="G10" s="57" t="s">
        <v>1315</v>
      </c>
      <c r="H10" s="61" t="s">
        <v>1367</v>
      </c>
      <c r="I10" s="55" t="s">
        <v>310</v>
      </c>
      <c r="J10" s="101">
        <v>45352</v>
      </c>
      <c r="K10" s="101">
        <v>45413</v>
      </c>
      <c r="L10" s="101"/>
      <c r="M10" s="101"/>
      <c r="N10" s="101" t="s">
        <v>62</v>
      </c>
      <c r="O10" s="102" t="s">
        <v>1222</v>
      </c>
      <c r="P10" s="103"/>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row>
    <row r="11" s="24" customFormat="1" ht="117" customHeight="1" spans="1:251">
      <c r="A11" s="56">
        <v>4</v>
      </c>
      <c r="B11" s="57" t="s">
        <v>1372</v>
      </c>
      <c r="C11" s="58" t="s">
        <v>24</v>
      </c>
      <c r="D11" s="57" t="s">
        <v>58</v>
      </c>
      <c r="E11" s="59" t="s">
        <v>1373</v>
      </c>
      <c r="F11" s="60">
        <v>7320</v>
      </c>
      <c r="G11" s="57" t="s">
        <v>1315</v>
      </c>
      <c r="H11" s="61" t="s">
        <v>1367</v>
      </c>
      <c r="I11" s="55" t="s">
        <v>310</v>
      </c>
      <c r="J11" s="101">
        <v>45352</v>
      </c>
      <c r="K11" s="101">
        <v>45413</v>
      </c>
      <c r="L11" s="101"/>
      <c r="M11" s="101"/>
      <c r="N11" s="101" t="s">
        <v>62</v>
      </c>
      <c r="O11" s="102" t="s">
        <v>1222</v>
      </c>
      <c r="P11" s="103"/>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row>
    <row r="12" s="24" customFormat="1" ht="98" customHeight="1" spans="1:251">
      <c r="A12" s="56">
        <v>5</v>
      </c>
      <c r="B12" s="57" t="s">
        <v>1374</v>
      </c>
      <c r="C12" s="58" t="s">
        <v>28</v>
      </c>
      <c r="D12" s="57" t="s">
        <v>310</v>
      </c>
      <c r="E12" s="59" t="s">
        <v>1375</v>
      </c>
      <c r="F12" s="60">
        <v>7413</v>
      </c>
      <c r="G12" s="57" t="s">
        <v>1315</v>
      </c>
      <c r="H12" s="61" t="s">
        <v>1367</v>
      </c>
      <c r="I12" s="55" t="s">
        <v>310</v>
      </c>
      <c r="J12" s="101">
        <v>45352</v>
      </c>
      <c r="K12" s="101">
        <v>45413</v>
      </c>
      <c r="L12" s="101"/>
      <c r="M12" s="101"/>
      <c r="N12" s="101" t="s">
        <v>88</v>
      </c>
      <c r="O12" s="102" t="s">
        <v>1222</v>
      </c>
      <c r="P12" s="103"/>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row>
    <row r="13" s="25" customFormat="1" ht="96" customHeight="1" spans="1:251">
      <c r="A13" s="56">
        <v>6</v>
      </c>
      <c r="B13" s="57" t="s">
        <v>1376</v>
      </c>
      <c r="C13" s="58" t="s">
        <v>24</v>
      </c>
      <c r="D13" s="57" t="s">
        <v>304</v>
      </c>
      <c r="E13" s="59" t="s">
        <v>1377</v>
      </c>
      <c r="F13" s="60">
        <v>47000</v>
      </c>
      <c r="G13" s="57" t="s">
        <v>1351</v>
      </c>
      <c r="H13" s="61" t="s">
        <v>1367</v>
      </c>
      <c r="I13" s="104" t="s">
        <v>310</v>
      </c>
      <c r="J13" s="101">
        <v>45292</v>
      </c>
      <c r="K13" s="101">
        <v>45413</v>
      </c>
      <c r="L13" s="101">
        <v>45444</v>
      </c>
      <c r="M13" s="101">
        <v>45536</v>
      </c>
      <c r="N13" s="101" t="s">
        <v>62</v>
      </c>
      <c r="O13" s="102" t="s">
        <v>63</v>
      </c>
      <c r="P13" s="103"/>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row>
    <row r="14" s="25" customFormat="1" ht="66" customHeight="1" spans="1:251">
      <c r="A14" s="56">
        <v>7</v>
      </c>
      <c r="B14" s="62" t="s">
        <v>1378</v>
      </c>
      <c r="C14" s="58" t="s">
        <v>24</v>
      </c>
      <c r="D14" s="62" t="s">
        <v>140</v>
      </c>
      <c r="E14" s="63" t="s">
        <v>1379</v>
      </c>
      <c r="F14" s="60">
        <v>23836</v>
      </c>
      <c r="G14" s="62" t="s">
        <v>1351</v>
      </c>
      <c r="H14" s="61" t="s">
        <v>1367</v>
      </c>
      <c r="I14" s="104" t="s">
        <v>310</v>
      </c>
      <c r="J14" s="102">
        <v>45292</v>
      </c>
      <c r="K14" s="102">
        <v>45383</v>
      </c>
      <c r="L14" s="102">
        <v>45444</v>
      </c>
      <c r="M14" s="102">
        <v>45505</v>
      </c>
      <c r="N14" s="102" t="s">
        <v>62</v>
      </c>
      <c r="O14" s="102" t="s">
        <v>63</v>
      </c>
      <c r="P14" s="103"/>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row>
    <row r="15" s="25" customFormat="1" ht="100" customHeight="1" spans="1:251">
      <c r="A15" s="56">
        <v>8</v>
      </c>
      <c r="B15" s="64" t="s">
        <v>1380</v>
      </c>
      <c r="C15" s="58" t="s">
        <v>24</v>
      </c>
      <c r="D15" s="65" t="s">
        <v>140</v>
      </c>
      <c r="E15" s="66" t="s">
        <v>1381</v>
      </c>
      <c r="F15" s="60">
        <v>23000</v>
      </c>
      <c r="G15" s="67" t="s">
        <v>1351</v>
      </c>
      <c r="H15" s="61" t="s">
        <v>1367</v>
      </c>
      <c r="I15" s="104" t="s">
        <v>310</v>
      </c>
      <c r="J15" s="102">
        <v>45292</v>
      </c>
      <c r="K15" s="102">
        <v>45383</v>
      </c>
      <c r="L15" s="102">
        <v>45444</v>
      </c>
      <c r="M15" s="102">
        <v>45505</v>
      </c>
      <c r="N15" s="102" t="s">
        <v>62</v>
      </c>
      <c r="O15" s="102" t="s">
        <v>63</v>
      </c>
      <c r="P15" s="103"/>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row>
    <row r="16" s="25" customFormat="1" ht="127" customHeight="1" spans="1:257">
      <c r="A16" s="56">
        <v>9</v>
      </c>
      <c r="B16" s="64" t="s">
        <v>1382</v>
      </c>
      <c r="C16" s="65" t="s">
        <v>24</v>
      </c>
      <c r="D16" s="65" t="s">
        <v>140</v>
      </c>
      <c r="E16" s="66" t="s">
        <v>1383</v>
      </c>
      <c r="F16" s="68">
        <v>9200</v>
      </c>
      <c r="G16" s="68" t="s">
        <v>1315</v>
      </c>
      <c r="H16" s="61" t="s">
        <v>1367</v>
      </c>
      <c r="I16" s="104" t="s">
        <v>310</v>
      </c>
      <c r="J16" s="102">
        <v>45261</v>
      </c>
      <c r="K16" s="102">
        <v>45323</v>
      </c>
      <c r="L16" s="102">
        <v>45383</v>
      </c>
      <c r="M16" s="102">
        <v>45413</v>
      </c>
      <c r="N16" s="102" t="s">
        <v>62</v>
      </c>
      <c r="O16" s="102" t="s">
        <v>63</v>
      </c>
      <c r="P16" s="105"/>
      <c r="Q16" s="129"/>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row>
    <row r="17" s="25" customFormat="1" ht="50" customHeight="1" spans="1:251">
      <c r="A17" s="56">
        <v>10</v>
      </c>
      <c r="B17" s="64" t="s">
        <v>1384</v>
      </c>
      <c r="C17" s="58" t="s">
        <v>24</v>
      </c>
      <c r="D17" s="65" t="s">
        <v>140</v>
      </c>
      <c r="E17" s="66" t="s">
        <v>1385</v>
      </c>
      <c r="F17" s="60">
        <v>8020</v>
      </c>
      <c r="G17" s="67" t="s">
        <v>1315</v>
      </c>
      <c r="H17" s="61" t="s">
        <v>1367</v>
      </c>
      <c r="I17" s="104" t="s">
        <v>310</v>
      </c>
      <c r="J17" s="102">
        <v>45261</v>
      </c>
      <c r="K17" s="102">
        <v>45323</v>
      </c>
      <c r="L17" s="102">
        <v>45383</v>
      </c>
      <c r="M17" s="102">
        <v>45413</v>
      </c>
      <c r="N17" s="102" t="s">
        <v>107</v>
      </c>
      <c r="O17" s="102"/>
      <c r="P17" s="103"/>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row>
    <row r="18" s="25" customFormat="1" ht="110" customHeight="1" spans="1:251">
      <c r="A18" s="56">
        <v>11</v>
      </c>
      <c r="B18" s="65" t="s">
        <v>1386</v>
      </c>
      <c r="C18" s="58" t="s">
        <v>24</v>
      </c>
      <c r="D18" s="65" t="s">
        <v>140</v>
      </c>
      <c r="E18" s="69" t="s">
        <v>1387</v>
      </c>
      <c r="F18" s="60">
        <v>3433.68</v>
      </c>
      <c r="G18" s="68" t="s">
        <v>1315</v>
      </c>
      <c r="H18" s="61" t="s">
        <v>1367</v>
      </c>
      <c r="I18" s="104" t="s">
        <v>310</v>
      </c>
      <c r="J18" s="102">
        <v>45261</v>
      </c>
      <c r="K18" s="106" t="s">
        <v>310</v>
      </c>
      <c r="L18" s="102">
        <v>45505</v>
      </c>
      <c r="M18" s="107">
        <v>45536</v>
      </c>
      <c r="N18" s="108" t="s">
        <v>62</v>
      </c>
      <c r="O18" s="102" t="s">
        <v>63</v>
      </c>
      <c r="P18" s="103"/>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row>
    <row r="19" s="25" customFormat="1" ht="71" customHeight="1" spans="1:251">
      <c r="A19" s="56">
        <v>12</v>
      </c>
      <c r="B19" s="58" t="s">
        <v>1388</v>
      </c>
      <c r="C19" s="58" t="s">
        <v>24</v>
      </c>
      <c r="D19" s="70" t="s">
        <v>58</v>
      </c>
      <c r="E19" s="59" t="s">
        <v>1389</v>
      </c>
      <c r="F19" s="60">
        <v>1500</v>
      </c>
      <c r="G19" s="58" t="s">
        <v>1315</v>
      </c>
      <c r="H19" s="61" t="s">
        <v>1367</v>
      </c>
      <c r="I19" s="104" t="s">
        <v>310</v>
      </c>
      <c r="J19" s="106">
        <v>45261</v>
      </c>
      <c r="K19" s="109" t="s">
        <v>310</v>
      </c>
      <c r="L19" s="106">
        <v>45352</v>
      </c>
      <c r="M19" s="106">
        <v>45383</v>
      </c>
      <c r="N19" s="106" t="s">
        <v>88</v>
      </c>
      <c r="O19" s="102" t="s">
        <v>63</v>
      </c>
      <c r="P19" s="103"/>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row>
    <row r="20" s="25" customFormat="1" ht="64" customHeight="1" spans="1:251">
      <c r="A20" s="56">
        <v>13</v>
      </c>
      <c r="B20" s="58" t="s">
        <v>1390</v>
      </c>
      <c r="C20" s="58" t="s">
        <v>24</v>
      </c>
      <c r="D20" s="58" t="s">
        <v>209</v>
      </c>
      <c r="E20" s="71" t="s">
        <v>1391</v>
      </c>
      <c r="F20" s="60">
        <v>830</v>
      </c>
      <c r="G20" s="58" t="s">
        <v>1179</v>
      </c>
      <c r="H20" s="61" t="s">
        <v>1367</v>
      </c>
      <c r="I20" s="104" t="s">
        <v>310</v>
      </c>
      <c r="J20" s="73" t="s">
        <v>310</v>
      </c>
      <c r="K20" s="106" t="s">
        <v>310</v>
      </c>
      <c r="L20" s="106">
        <v>45352</v>
      </c>
      <c r="M20" s="106">
        <v>45413</v>
      </c>
      <c r="N20" s="106" t="s">
        <v>107</v>
      </c>
      <c r="O20" s="102"/>
      <c r="P20" s="103"/>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row>
    <row r="21" s="25" customFormat="1" ht="67" customHeight="1" spans="1:251">
      <c r="A21" s="56">
        <v>14</v>
      </c>
      <c r="B21" s="58" t="s">
        <v>1392</v>
      </c>
      <c r="C21" s="58" t="s">
        <v>24</v>
      </c>
      <c r="D21" s="58" t="s">
        <v>209</v>
      </c>
      <c r="E21" s="71" t="s">
        <v>1393</v>
      </c>
      <c r="F21" s="60">
        <v>852</v>
      </c>
      <c r="G21" s="58" t="s">
        <v>1179</v>
      </c>
      <c r="H21" s="61" t="s">
        <v>1367</v>
      </c>
      <c r="I21" s="104" t="s">
        <v>310</v>
      </c>
      <c r="J21" s="73" t="s">
        <v>310</v>
      </c>
      <c r="K21" s="106" t="s">
        <v>310</v>
      </c>
      <c r="L21" s="106">
        <v>45352</v>
      </c>
      <c r="M21" s="106">
        <v>45413</v>
      </c>
      <c r="N21" s="106" t="s">
        <v>107</v>
      </c>
      <c r="O21" s="102"/>
      <c r="P21" s="103"/>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row>
    <row r="22" s="25" customFormat="1" ht="39" customHeight="1" spans="1:257">
      <c r="A22" s="56">
        <v>15</v>
      </c>
      <c r="B22" s="65" t="s">
        <v>1394</v>
      </c>
      <c r="C22" s="65" t="s">
        <v>24</v>
      </c>
      <c r="D22" s="65" t="s">
        <v>110</v>
      </c>
      <c r="E22" s="69" t="s">
        <v>1395</v>
      </c>
      <c r="F22" s="60">
        <v>94000</v>
      </c>
      <c r="G22" s="72" t="s">
        <v>1351</v>
      </c>
      <c r="H22" s="61" t="s">
        <v>1367</v>
      </c>
      <c r="I22" s="104" t="s">
        <v>310</v>
      </c>
      <c r="J22" s="102">
        <v>45352</v>
      </c>
      <c r="K22" s="102">
        <v>45413</v>
      </c>
      <c r="L22" s="102">
        <v>45474</v>
      </c>
      <c r="M22" s="102">
        <v>45536</v>
      </c>
      <c r="N22" s="102" t="s">
        <v>62</v>
      </c>
      <c r="O22" s="102" t="s">
        <v>63</v>
      </c>
      <c r="P22" s="36"/>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26"/>
      <c r="IS22" s="26"/>
      <c r="IT22" s="26"/>
      <c r="IU22" s="26"/>
      <c r="IV22" s="26"/>
      <c r="IW22" s="26"/>
    </row>
    <row r="23" s="25" customFormat="1" ht="41" customHeight="1" spans="1:257">
      <c r="A23" s="56">
        <v>16</v>
      </c>
      <c r="B23" s="65" t="s">
        <v>1396</v>
      </c>
      <c r="C23" s="65" t="s">
        <v>24</v>
      </c>
      <c r="D23" s="65" t="s">
        <v>110</v>
      </c>
      <c r="E23" s="69" t="s">
        <v>1397</v>
      </c>
      <c r="F23" s="60">
        <v>38000</v>
      </c>
      <c r="G23" s="72" t="s">
        <v>1351</v>
      </c>
      <c r="H23" s="61" t="s">
        <v>1367</v>
      </c>
      <c r="I23" s="104" t="s">
        <v>310</v>
      </c>
      <c r="J23" s="102">
        <v>45413</v>
      </c>
      <c r="K23" s="102">
        <v>45474</v>
      </c>
      <c r="L23" s="102">
        <v>45170</v>
      </c>
      <c r="M23" s="102">
        <v>45625</v>
      </c>
      <c r="N23" s="102" t="s">
        <v>62</v>
      </c>
      <c r="O23" s="102" t="s">
        <v>63</v>
      </c>
      <c r="P23" s="110"/>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26"/>
      <c r="IS23" s="26"/>
      <c r="IT23" s="26"/>
      <c r="IU23" s="26"/>
      <c r="IV23" s="26"/>
      <c r="IW23" s="26"/>
    </row>
    <row r="24" s="25" customFormat="1" ht="53" customHeight="1" spans="1:251">
      <c r="A24" s="56">
        <v>17</v>
      </c>
      <c r="B24" s="65" t="s">
        <v>1398</v>
      </c>
      <c r="C24" s="58" t="s">
        <v>24</v>
      </c>
      <c r="D24" s="65" t="s">
        <v>140</v>
      </c>
      <c r="E24" s="66" t="s">
        <v>1399</v>
      </c>
      <c r="F24" s="60">
        <v>35065.34</v>
      </c>
      <c r="G24" s="68" t="s">
        <v>1179</v>
      </c>
      <c r="H24" s="61" t="s">
        <v>1367</v>
      </c>
      <c r="I24" s="104" t="s">
        <v>310</v>
      </c>
      <c r="J24" s="102">
        <v>45231</v>
      </c>
      <c r="K24" s="102">
        <v>45292</v>
      </c>
      <c r="L24" s="102">
        <v>45383</v>
      </c>
      <c r="M24" s="102">
        <v>45474</v>
      </c>
      <c r="N24" s="102" t="s">
        <v>107</v>
      </c>
      <c r="O24" s="102" t="s">
        <v>63</v>
      </c>
      <c r="P24" s="103" t="s">
        <v>1400</v>
      </c>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row>
    <row r="25" s="25" customFormat="1" ht="55" customHeight="1" spans="1:251">
      <c r="A25" s="56">
        <v>18</v>
      </c>
      <c r="B25" s="73" t="s">
        <v>1401</v>
      </c>
      <c r="C25" s="58" t="s">
        <v>24</v>
      </c>
      <c r="D25" s="57" t="s">
        <v>304</v>
      </c>
      <c r="E25" s="59" t="s">
        <v>1402</v>
      </c>
      <c r="F25" s="60">
        <v>17000</v>
      </c>
      <c r="G25" s="57" t="s">
        <v>1351</v>
      </c>
      <c r="H25" s="61" t="s">
        <v>1367</v>
      </c>
      <c r="I25" s="104" t="s">
        <v>310</v>
      </c>
      <c r="J25" s="106">
        <v>45383</v>
      </c>
      <c r="K25" s="106">
        <v>45474</v>
      </c>
      <c r="L25" s="106">
        <v>45536</v>
      </c>
      <c r="M25" s="106">
        <v>45597</v>
      </c>
      <c r="N25" s="106" t="s">
        <v>62</v>
      </c>
      <c r="O25" s="102" t="s">
        <v>63</v>
      </c>
      <c r="P25" s="103"/>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row>
    <row r="26" s="25" customFormat="1" ht="100" customHeight="1" spans="1:251">
      <c r="A26" s="56">
        <v>19</v>
      </c>
      <c r="B26" s="58" t="s">
        <v>1403</v>
      </c>
      <c r="C26" s="58" t="s">
        <v>24</v>
      </c>
      <c r="D26" s="58" t="s">
        <v>209</v>
      </c>
      <c r="E26" s="71" t="s">
        <v>1404</v>
      </c>
      <c r="F26" s="60">
        <v>15000</v>
      </c>
      <c r="G26" s="58" t="s">
        <v>1315</v>
      </c>
      <c r="H26" s="61" t="s">
        <v>1367</v>
      </c>
      <c r="I26" s="104" t="s">
        <v>310</v>
      </c>
      <c r="J26" s="106">
        <v>45261</v>
      </c>
      <c r="K26" s="106">
        <v>45352</v>
      </c>
      <c r="L26" s="106">
        <v>45078</v>
      </c>
      <c r="M26" s="106">
        <v>45108</v>
      </c>
      <c r="N26" s="106" t="s">
        <v>107</v>
      </c>
      <c r="O26" s="102" t="s">
        <v>63</v>
      </c>
      <c r="P26" s="103"/>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row>
    <row r="27" s="25" customFormat="1" ht="68" customHeight="1" spans="1:251">
      <c r="A27" s="56">
        <v>20</v>
      </c>
      <c r="B27" s="58" t="s">
        <v>1405</v>
      </c>
      <c r="C27" s="58" t="s">
        <v>24</v>
      </c>
      <c r="D27" s="62" t="s">
        <v>140</v>
      </c>
      <c r="E27" s="63" t="s">
        <v>1406</v>
      </c>
      <c r="F27" s="60">
        <v>15000</v>
      </c>
      <c r="G27" s="62" t="s">
        <v>364</v>
      </c>
      <c r="H27" s="61" t="s">
        <v>1367</v>
      </c>
      <c r="I27" s="104" t="s">
        <v>310</v>
      </c>
      <c r="J27" s="102">
        <v>45292</v>
      </c>
      <c r="K27" s="102">
        <v>45352</v>
      </c>
      <c r="L27" s="102">
        <v>45444</v>
      </c>
      <c r="M27" s="102">
        <v>45474</v>
      </c>
      <c r="N27" s="102" t="s">
        <v>62</v>
      </c>
      <c r="O27" s="102" t="s">
        <v>63</v>
      </c>
      <c r="P27" s="103"/>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row>
    <row r="28" s="26" customFormat="1" ht="64" customHeight="1" spans="1:257">
      <c r="A28" s="56">
        <v>21</v>
      </c>
      <c r="B28" s="58" t="s">
        <v>1407</v>
      </c>
      <c r="C28" s="58" t="s">
        <v>24</v>
      </c>
      <c r="D28" s="58" t="s">
        <v>140</v>
      </c>
      <c r="E28" s="71" t="s">
        <v>1408</v>
      </c>
      <c r="F28" s="60">
        <v>15000</v>
      </c>
      <c r="G28" s="58" t="s">
        <v>1315</v>
      </c>
      <c r="H28" s="61" t="s">
        <v>1367</v>
      </c>
      <c r="I28" s="104" t="s">
        <v>310</v>
      </c>
      <c r="J28" s="106">
        <v>45200</v>
      </c>
      <c r="K28" s="106">
        <v>45231</v>
      </c>
      <c r="L28" s="106">
        <v>45261</v>
      </c>
      <c r="M28" s="106">
        <v>45320</v>
      </c>
      <c r="N28" s="106" t="s">
        <v>62</v>
      </c>
      <c r="O28" s="102" t="s">
        <v>63</v>
      </c>
      <c r="P28" s="111" t="s">
        <v>1409</v>
      </c>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5"/>
      <c r="IS28" s="25"/>
      <c r="IT28" s="25"/>
      <c r="IU28" s="25"/>
      <c r="IV28" s="25"/>
      <c r="IW28" s="25"/>
    </row>
    <row r="29" s="25" customFormat="1" ht="95" customHeight="1" spans="1:251">
      <c r="A29" s="56">
        <v>22</v>
      </c>
      <c r="B29" s="73" t="s">
        <v>1410</v>
      </c>
      <c r="C29" s="74" t="s">
        <v>24</v>
      </c>
      <c r="D29" s="70" t="s">
        <v>58</v>
      </c>
      <c r="E29" s="75" t="s">
        <v>1411</v>
      </c>
      <c r="F29" s="60">
        <v>11000</v>
      </c>
      <c r="G29" s="73" t="s">
        <v>1351</v>
      </c>
      <c r="H29" s="61" t="s">
        <v>1367</v>
      </c>
      <c r="I29" s="104" t="s">
        <v>310</v>
      </c>
      <c r="J29" s="112">
        <v>45505</v>
      </c>
      <c r="K29" s="113">
        <v>45566</v>
      </c>
      <c r="L29" s="113">
        <v>45413</v>
      </c>
      <c r="M29" s="113">
        <v>45505</v>
      </c>
      <c r="N29" s="113" t="s">
        <v>62</v>
      </c>
      <c r="O29" s="102" t="s">
        <v>63</v>
      </c>
      <c r="P29" s="103" t="s">
        <v>1412</v>
      </c>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row>
    <row r="30" s="25" customFormat="1" ht="39" customHeight="1" spans="1:251">
      <c r="A30" s="56">
        <v>23</v>
      </c>
      <c r="B30" s="58" t="s">
        <v>1413</v>
      </c>
      <c r="C30" s="74" t="s">
        <v>24</v>
      </c>
      <c r="D30" s="70" t="s">
        <v>58</v>
      </c>
      <c r="E30" s="75" t="s">
        <v>1414</v>
      </c>
      <c r="F30" s="60">
        <v>9000</v>
      </c>
      <c r="G30" s="58" t="s">
        <v>1315</v>
      </c>
      <c r="H30" s="61" t="s">
        <v>1367</v>
      </c>
      <c r="I30" s="104" t="s">
        <v>310</v>
      </c>
      <c r="J30" s="102">
        <v>45261</v>
      </c>
      <c r="K30" s="102">
        <v>45323</v>
      </c>
      <c r="L30" s="102">
        <v>45383</v>
      </c>
      <c r="M30" s="102">
        <v>45413</v>
      </c>
      <c r="N30" s="102" t="s">
        <v>62</v>
      </c>
      <c r="O30" s="102" t="s">
        <v>63</v>
      </c>
      <c r="P30" s="103" t="s">
        <v>1415</v>
      </c>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row>
    <row r="31" s="25" customFormat="1" ht="55" customHeight="1" spans="1:251">
      <c r="A31" s="56">
        <v>24</v>
      </c>
      <c r="B31" s="76" t="s">
        <v>1416</v>
      </c>
      <c r="C31" s="74" t="s">
        <v>24</v>
      </c>
      <c r="D31" s="77" t="s">
        <v>304</v>
      </c>
      <c r="E31" s="78" t="s">
        <v>1417</v>
      </c>
      <c r="F31" s="60">
        <v>8000</v>
      </c>
      <c r="G31" s="77" t="s">
        <v>1351</v>
      </c>
      <c r="H31" s="61" t="s">
        <v>1367</v>
      </c>
      <c r="I31" s="104" t="s">
        <v>310</v>
      </c>
      <c r="J31" s="102">
        <v>45383</v>
      </c>
      <c r="K31" s="102">
        <v>45474</v>
      </c>
      <c r="L31" s="102">
        <v>45536</v>
      </c>
      <c r="M31" s="102">
        <v>45597</v>
      </c>
      <c r="N31" s="102" t="s">
        <v>62</v>
      </c>
      <c r="O31" s="102" t="s">
        <v>63</v>
      </c>
      <c r="P31" s="103"/>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row>
    <row r="32" s="25" customFormat="1" ht="57" customHeight="1" spans="1:251">
      <c r="A32" s="56">
        <v>25</v>
      </c>
      <c r="B32" s="74" t="s">
        <v>1418</v>
      </c>
      <c r="C32" s="74" t="s">
        <v>24</v>
      </c>
      <c r="D32" s="79" t="s">
        <v>58</v>
      </c>
      <c r="E32" s="80" t="s">
        <v>1419</v>
      </c>
      <c r="F32" s="60">
        <v>7500</v>
      </c>
      <c r="G32" s="74" t="s">
        <v>1179</v>
      </c>
      <c r="H32" s="61" t="s">
        <v>1367</v>
      </c>
      <c r="I32" s="104" t="s">
        <v>310</v>
      </c>
      <c r="J32" s="102">
        <v>45261</v>
      </c>
      <c r="K32" s="102">
        <v>45383</v>
      </c>
      <c r="L32" s="102">
        <v>45505</v>
      </c>
      <c r="M32" s="102">
        <v>45566</v>
      </c>
      <c r="N32" s="102" t="s">
        <v>62</v>
      </c>
      <c r="O32" s="102" t="s">
        <v>63</v>
      </c>
      <c r="P32" s="103" t="s">
        <v>1415</v>
      </c>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row>
    <row r="33" s="25" customFormat="1" ht="57" customHeight="1" spans="1:251">
      <c r="A33" s="56">
        <v>26</v>
      </c>
      <c r="B33" s="81" t="s">
        <v>1420</v>
      </c>
      <c r="C33" s="74" t="s">
        <v>24</v>
      </c>
      <c r="D33" s="81" t="s">
        <v>140</v>
      </c>
      <c r="E33" s="82" t="s">
        <v>1421</v>
      </c>
      <c r="F33" s="60">
        <v>6974</v>
      </c>
      <c r="G33" s="81" t="s">
        <v>364</v>
      </c>
      <c r="H33" s="61" t="s">
        <v>1367</v>
      </c>
      <c r="I33" s="104" t="s">
        <v>310</v>
      </c>
      <c r="J33" s="114">
        <v>45261</v>
      </c>
      <c r="K33" s="102">
        <v>45323</v>
      </c>
      <c r="L33" s="114">
        <v>45383</v>
      </c>
      <c r="M33" s="114">
        <v>45413</v>
      </c>
      <c r="N33" s="102" t="s">
        <v>62</v>
      </c>
      <c r="O33" s="102" t="s">
        <v>63</v>
      </c>
      <c r="P33" s="103"/>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row>
    <row r="34" s="25" customFormat="1" ht="54" customHeight="1" spans="1:257">
      <c r="A34" s="56">
        <v>27</v>
      </c>
      <c r="B34" s="83" t="s">
        <v>1422</v>
      </c>
      <c r="C34" s="83" t="s">
        <v>24</v>
      </c>
      <c r="D34" s="77" t="s">
        <v>140</v>
      </c>
      <c r="E34" s="84" t="s">
        <v>1423</v>
      </c>
      <c r="F34" s="85">
        <v>5836.87</v>
      </c>
      <c r="G34" s="86" t="s">
        <v>1179</v>
      </c>
      <c r="H34" s="61" t="s">
        <v>1367</v>
      </c>
      <c r="I34" s="104" t="s">
        <v>310</v>
      </c>
      <c r="J34" s="114">
        <v>45078</v>
      </c>
      <c r="K34" s="114">
        <v>45352</v>
      </c>
      <c r="L34" s="114">
        <v>45383</v>
      </c>
      <c r="M34" s="114">
        <v>45413</v>
      </c>
      <c r="N34" s="102" t="s">
        <v>107</v>
      </c>
      <c r="O34" s="102"/>
      <c r="P34" s="115"/>
      <c r="Q34" s="129"/>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row>
    <row r="35" s="25" customFormat="1" ht="41" customHeight="1" spans="1:251">
      <c r="A35" s="56">
        <v>28</v>
      </c>
      <c r="B35" s="74" t="s">
        <v>1424</v>
      </c>
      <c r="C35" s="74" t="s">
        <v>24</v>
      </c>
      <c r="D35" s="79" t="s">
        <v>58</v>
      </c>
      <c r="E35" s="87" t="s">
        <v>1425</v>
      </c>
      <c r="F35" s="60">
        <v>4800</v>
      </c>
      <c r="G35" s="74" t="s">
        <v>1315</v>
      </c>
      <c r="H35" s="61" t="s">
        <v>1367</v>
      </c>
      <c r="I35" s="104" t="s">
        <v>310</v>
      </c>
      <c r="J35" s="114">
        <v>45261</v>
      </c>
      <c r="K35" s="114" t="s">
        <v>310</v>
      </c>
      <c r="L35" s="114">
        <v>45383</v>
      </c>
      <c r="M35" s="114">
        <v>45413</v>
      </c>
      <c r="N35" s="102" t="s">
        <v>62</v>
      </c>
      <c r="O35" s="102" t="s">
        <v>63</v>
      </c>
      <c r="P35" s="103" t="s">
        <v>1415</v>
      </c>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row>
    <row r="36" s="25" customFormat="1" ht="70" customHeight="1" spans="1:251">
      <c r="A36" s="56">
        <v>29</v>
      </c>
      <c r="B36" s="81" t="s">
        <v>1426</v>
      </c>
      <c r="C36" s="74" t="s">
        <v>24</v>
      </c>
      <c r="D36" s="81" t="s">
        <v>140</v>
      </c>
      <c r="E36" s="82" t="s">
        <v>1427</v>
      </c>
      <c r="F36" s="60">
        <v>4315.5</v>
      </c>
      <c r="G36" s="81" t="s">
        <v>1315</v>
      </c>
      <c r="H36" s="61" t="s">
        <v>1367</v>
      </c>
      <c r="I36" s="104" t="s">
        <v>310</v>
      </c>
      <c r="J36" s="116">
        <v>45566</v>
      </c>
      <c r="K36" s="114" t="s">
        <v>310</v>
      </c>
      <c r="L36" s="117">
        <v>45627</v>
      </c>
      <c r="M36" s="117">
        <v>45627</v>
      </c>
      <c r="N36" s="102" t="s">
        <v>62</v>
      </c>
      <c r="O36" s="102"/>
      <c r="P36" s="103"/>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row>
    <row r="37" s="25" customFormat="1" ht="71" customHeight="1" spans="1:251">
      <c r="A37" s="56">
        <v>30</v>
      </c>
      <c r="B37" s="74" t="s">
        <v>1428</v>
      </c>
      <c r="C37" s="74" t="s">
        <v>24</v>
      </c>
      <c r="D37" s="70" t="s">
        <v>58</v>
      </c>
      <c r="E37" s="78" t="s">
        <v>1429</v>
      </c>
      <c r="F37" s="60">
        <v>4200</v>
      </c>
      <c r="G37" s="58" t="s">
        <v>1430</v>
      </c>
      <c r="H37" s="61" t="s">
        <v>1367</v>
      </c>
      <c r="I37" s="104" t="s">
        <v>310</v>
      </c>
      <c r="J37" s="116">
        <v>45200</v>
      </c>
      <c r="K37" s="86" t="s">
        <v>310</v>
      </c>
      <c r="L37" s="116">
        <v>45292</v>
      </c>
      <c r="M37" s="116">
        <v>45323</v>
      </c>
      <c r="N37" s="106" t="s">
        <v>62</v>
      </c>
      <c r="O37" s="102" t="s">
        <v>63</v>
      </c>
      <c r="P37" s="103"/>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row>
    <row r="38" s="25" customFormat="1" ht="128" customHeight="1" spans="1:251">
      <c r="A38" s="56">
        <v>31</v>
      </c>
      <c r="B38" s="74" t="s">
        <v>1431</v>
      </c>
      <c r="C38" s="74" t="s">
        <v>24</v>
      </c>
      <c r="D38" s="70" t="s">
        <v>58</v>
      </c>
      <c r="E38" s="80" t="s">
        <v>1432</v>
      </c>
      <c r="F38" s="60">
        <v>4080.47</v>
      </c>
      <c r="G38" s="74" t="s">
        <v>364</v>
      </c>
      <c r="H38" s="61" t="s">
        <v>1367</v>
      </c>
      <c r="I38" s="104" t="s">
        <v>310</v>
      </c>
      <c r="J38" s="116">
        <v>45200</v>
      </c>
      <c r="K38" s="116" t="s">
        <v>310</v>
      </c>
      <c r="L38" s="116">
        <v>45261</v>
      </c>
      <c r="M38" s="116">
        <v>45320</v>
      </c>
      <c r="N38" s="106" t="s">
        <v>62</v>
      </c>
      <c r="O38" s="102" t="s">
        <v>63</v>
      </c>
      <c r="P38" s="103"/>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row>
    <row r="39" s="25" customFormat="1" ht="97" customHeight="1" spans="1:251">
      <c r="A39" s="56">
        <v>32</v>
      </c>
      <c r="B39" s="74" t="s">
        <v>1433</v>
      </c>
      <c r="C39" s="74" t="s">
        <v>24</v>
      </c>
      <c r="D39" s="70" t="s">
        <v>58</v>
      </c>
      <c r="E39" s="71" t="s">
        <v>1434</v>
      </c>
      <c r="F39" s="60">
        <v>4000</v>
      </c>
      <c r="G39" s="74" t="s">
        <v>1179</v>
      </c>
      <c r="H39" s="61" t="s">
        <v>1367</v>
      </c>
      <c r="I39" s="104" t="s">
        <v>310</v>
      </c>
      <c r="J39" s="116">
        <v>45627</v>
      </c>
      <c r="K39" s="58" t="s">
        <v>310</v>
      </c>
      <c r="L39" s="116">
        <v>45689</v>
      </c>
      <c r="M39" s="116">
        <v>45809</v>
      </c>
      <c r="N39" s="106" t="s">
        <v>62</v>
      </c>
      <c r="O39" s="102" t="s">
        <v>63</v>
      </c>
      <c r="P39" s="103"/>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row>
    <row r="40" s="25" customFormat="1" ht="55" customHeight="1" spans="1:251">
      <c r="A40" s="56">
        <v>33</v>
      </c>
      <c r="B40" s="76" t="s">
        <v>1435</v>
      </c>
      <c r="C40" s="74" t="s">
        <v>24</v>
      </c>
      <c r="D40" s="70" t="s">
        <v>58</v>
      </c>
      <c r="E40" s="75" t="s">
        <v>1436</v>
      </c>
      <c r="F40" s="60">
        <v>2856.86</v>
      </c>
      <c r="G40" s="76" t="s">
        <v>1315</v>
      </c>
      <c r="H40" s="61" t="s">
        <v>1367</v>
      </c>
      <c r="I40" s="104" t="s">
        <v>310</v>
      </c>
      <c r="J40" s="118">
        <v>45383</v>
      </c>
      <c r="K40" s="106" t="s">
        <v>310</v>
      </c>
      <c r="L40" s="118">
        <v>45413</v>
      </c>
      <c r="M40" s="118">
        <v>45444</v>
      </c>
      <c r="N40" s="112" t="s">
        <v>62</v>
      </c>
      <c r="O40" s="102" t="s">
        <v>63</v>
      </c>
      <c r="P40" s="103"/>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row>
    <row r="41" s="25" customFormat="1" ht="46" customHeight="1" spans="1:251">
      <c r="A41" s="56">
        <v>34</v>
      </c>
      <c r="B41" s="74" t="s">
        <v>1437</v>
      </c>
      <c r="C41" s="74" t="s">
        <v>24</v>
      </c>
      <c r="D41" s="70" t="s">
        <v>58</v>
      </c>
      <c r="E41" s="71" t="s">
        <v>1438</v>
      </c>
      <c r="F41" s="60">
        <v>2800</v>
      </c>
      <c r="G41" s="88" t="s">
        <v>364</v>
      </c>
      <c r="H41" s="61" t="s">
        <v>1367</v>
      </c>
      <c r="I41" s="104" t="s">
        <v>310</v>
      </c>
      <c r="J41" s="116">
        <v>45261</v>
      </c>
      <c r="K41" s="73" t="s">
        <v>310</v>
      </c>
      <c r="L41" s="119">
        <v>45323</v>
      </c>
      <c r="M41" s="119">
        <v>45352</v>
      </c>
      <c r="N41" s="120" t="s">
        <v>62</v>
      </c>
      <c r="O41" s="102" t="s">
        <v>63</v>
      </c>
      <c r="P41" s="103"/>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row>
    <row r="42" s="25" customFormat="1" ht="125" customHeight="1" spans="1:251">
      <c r="A42" s="56">
        <v>35</v>
      </c>
      <c r="B42" s="74" t="s">
        <v>1439</v>
      </c>
      <c r="C42" s="74" t="s">
        <v>24</v>
      </c>
      <c r="D42" s="70" t="s">
        <v>58</v>
      </c>
      <c r="E42" s="80" t="s">
        <v>1440</v>
      </c>
      <c r="F42" s="60">
        <v>2700</v>
      </c>
      <c r="G42" s="74" t="s">
        <v>1430</v>
      </c>
      <c r="H42" s="61" t="s">
        <v>1367</v>
      </c>
      <c r="I42" s="104" t="s">
        <v>310</v>
      </c>
      <c r="J42" s="116">
        <v>44986</v>
      </c>
      <c r="K42" s="106" t="s">
        <v>310</v>
      </c>
      <c r="L42" s="116">
        <v>45261</v>
      </c>
      <c r="M42" s="116">
        <v>45389</v>
      </c>
      <c r="N42" s="106" t="s">
        <v>62</v>
      </c>
      <c r="O42" s="102" t="s">
        <v>63</v>
      </c>
      <c r="P42" s="103" t="s">
        <v>1441</v>
      </c>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row>
    <row r="43" s="25" customFormat="1" ht="110" customHeight="1" spans="1:251">
      <c r="A43" s="56">
        <v>36</v>
      </c>
      <c r="B43" s="74" t="s">
        <v>1442</v>
      </c>
      <c r="C43" s="74" t="s">
        <v>24</v>
      </c>
      <c r="D43" s="58" t="s">
        <v>209</v>
      </c>
      <c r="E43" s="80" t="s">
        <v>1443</v>
      </c>
      <c r="F43" s="60">
        <v>2596.19</v>
      </c>
      <c r="G43" s="74" t="s">
        <v>1179</v>
      </c>
      <c r="H43" s="61" t="s">
        <v>1367</v>
      </c>
      <c r="I43" s="104" t="s">
        <v>310</v>
      </c>
      <c r="J43" s="116">
        <v>44902</v>
      </c>
      <c r="K43" s="58" t="s">
        <v>310</v>
      </c>
      <c r="L43" s="106">
        <v>45358</v>
      </c>
      <c r="M43" s="106">
        <v>45389</v>
      </c>
      <c r="N43" s="106" t="s">
        <v>62</v>
      </c>
      <c r="O43" s="102" t="s">
        <v>63</v>
      </c>
      <c r="P43" s="103" t="s">
        <v>1444</v>
      </c>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row>
    <row r="44" s="25" customFormat="1" ht="74" customHeight="1" spans="1:251">
      <c r="A44" s="56">
        <v>37</v>
      </c>
      <c r="B44" s="81" t="s">
        <v>1445</v>
      </c>
      <c r="C44" s="74" t="s">
        <v>24</v>
      </c>
      <c r="D44" s="62" t="s">
        <v>140</v>
      </c>
      <c r="E44" s="82" t="s">
        <v>1446</v>
      </c>
      <c r="F44" s="60">
        <v>2500</v>
      </c>
      <c r="G44" s="81" t="s">
        <v>1315</v>
      </c>
      <c r="H44" s="61" t="s">
        <v>1367</v>
      </c>
      <c r="I44" s="104" t="s">
        <v>310</v>
      </c>
      <c r="J44" s="116">
        <v>45566</v>
      </c>
      <c r="K44" s="58" t="s">
        <v>310</v>
      </c>
      <c r="L44" s="117">
        <v>45261</v>
      </c>
      <c r="M44" s="117">
        <v>45413</v>
      </c>
      <c r="N44" s="106" t="s">
        <v>62</v>
      </c>
      <c r="O44" s="102" t="s">
        <v>63</v>
      </c>
      <c r="P44" s="103"/>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row>
    <row r="45" s="25" customFormat="1" ht="98" customHeight="1" spans="1:257">
      <c r="A45" s="56">
        <v>38</v>
      </c>
      <c r="B45" s="81" t="s">
        <v>1447</v>
      </c>
      <c r="C45" s="81" t="s">
        <v>24</v>
      </c>
      <c r="D45" s="62" t="s">
        <v>110</v>
      </c>
      <c r="E45" s="63" t="s">
        <v>1448</v>
      </c>
      <c r="F45" s="89">
        <v>2275.65</v>
      </c>
      <c r="G45" s="90" t="s">
        <v>1430</v>
      </c>
      <c r="H45" s="61" t="s">
        <v>1367</v>
      </c>
      <c r="I45" s="104" t="s">
        <v>310</v>
      </c>
      <c r="J45" s="116">
        <v>44902</v>
      </c>
      <c r="K45" s="58" t="s">
        <v>310</v>
      </c>
      <c r="L45" s="116">
        <v>45358</v>
      </c>
      <c r="M45" s="116">
        <v>45389</v>
      </c>
      <c r="N45" s="106" t="s">
        <v>62</v>
      </c>
      <c r="O45" s="102" t="s">
        <v>63</v>
      </c>
      <c r="P45" s="121"/>
      <c r="Q45" s="130"/>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row>
    <row r="46" s="25" customFormat="1" ht="72" customHeight="1" spans="1:257">
      <c r="A46" s="56">
        <v>39</v>
      </c>
      <c r="B46" s="81" t="s">
        <v>1449</v>
      </c>
      <c r="C46" s="81" t="s">
        <v>24</v>
      </c>
      <c r="D46" s="62" t="s">
        <v>50</v>
      </c>
      <c r="E46" s="91" t="s">
        <v>1450</v>
      </c>
      <c r="F46" s="89">
        <v>1700</v>
      </c>
      <c r="G46" s="90" t="s">
        <v>1315</v>
      </c>
      <c r="H46" s="61" t="s">
        <v>1367</v>
      </c>
      <c r="I46" s="104" t="s">
        <v>310</v>
      </c>
      <c r="J46" s="122">
        <v>44902</v>
      </c>
      <c r="K46" s="123" t="s">
        <v>310</v>
      </c>
      <c r="L46" s="122">
        <v>45358</v>
      </c>
      <c r="M46" s="122">
        <v>45389</v>
      </c>
      <c r="N46" s="124" t="s">
        <v>62</v>
      </c>
      <c r="O46" s="102"/>
      <c r="P46" s="125"/>
      <c r="Q46" s="129" t="s">
        <v>1451</v>
      </c>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row>
    <row r="47" s="25" customFormat="1" ht="98" customHeight="1" spans="1:251">
      <c r="A47" s="56">
        <v>40</v>
      </c>
      <c r="B47" s="74" t="s">
        <v>1452</v>
      </c>
      <c r="C47" s="74" t="s">
        <v>24</v>
      </c>
      <c r="D47" s="58" t="s">
        <v>209</v>
      </c>
      <c r="E47" s="80" t="s">
        <v>1453</v>
      </c>
      <c r="F47" s="60">
        <v>1445.46</v>
      </c>
      <c r="G47" s="74" t="s">
        <v>1179</v>
      </c>
      <c r="H47" s="61" t="s">
        <v>1367</v>
      </c>
      <c r="I47" s="104" t="s">
        <v>310</v>
      </c>
      <c r="J47" s="116">
        <v>44902</v>
      </c>
      <c r="K47" s="74" t="s">
        <v>310</v>
      </c>
      <c r="L47" s="116">
        <v>45358</v>
      </c>
      <c r="M47" s="116">
        <v>45389</v>
      </c>
      <c r="N47" s="106" t="s">
        <v>62</v>
      </c>
      <c r="O47" s="102" t="s">
        <v>63</v>
      </c>
      <c r="P47" s="103" t="s">
        <v>1444</v>
      </c>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row>
    <row r="48" s="25" customFormat="1" ht="58" customHeight="1" spans="1:251">
      <c r="A48" s="56">
        <v>41</v>
      </c>
      <c r="B48" s="74" t="s">
        <v>1454</v>
      </c>
      <c r="C48" s="74" t="s">
        <v>24</v>
      </c>
      <c r="D48" s="58" t="s">
        <v>209</v>
      </c>
      <c r="E48" s="92" t="s">
        <v>1455</v>
      </c>
      <c r="F48" s="60">
        <v>1021.46</v>
      </c>
      <c r="G48" s="74" t="s">
        <v>1315</v>
      </c>
      <c r="H48" s="61" t="s">
        <v>1367</v>
      </c>
      <c r="I48" s="104" t="s">
        <v>310</v>
      </c>
      <c r="J48" s="122">
        <v>45383</v>
      </c>
      <c r="K48" s="122" t="s">
        <v>310</v>
      </c>
      <c r="L48" s="122">
        <v>45444</v>
      </c>
      <c r="M48" s="122">
        <v>45473</v>
      </c>
      <c r="N48" s="124" t="s">
        <v>62</v>
      </c>
      <c r="O48" s="102" t="s">
        <v>63</v>
      </c>
      <c r="P48" s="103"/>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row>
    <row r="49" s="25" customFormat="1" ht="69" customHeight="1" spans="1:251">
      <c r="A49" s="56">
        <v>42</v>
      </c>
      <c r="B49" s="74" t="s">
        <v>1456</v>
      </c>
      <c r="C49" s="74" t="s">
        <v>24</v>
      </c>
      <c r="D49" s="70" t="s">
        <v>58</v>
      </c>
      <c r="E49" s="80" t="s">
        <v>1457</v>
      </c>
      <c r="F49" s="60">
        <v>980</v>
      </c>
      <c r="G49" s="74" t="s">
        <v>364</v>
      </c>
      <c r="H49" s="61" t="s">
        <v>1367</v>
      </c>
      <c r="I49" s="104" t="s">
        <v>310</v>
      </c>
      <c r="J49" s="76" t="s">
        <v>310</v>
      </c>
      <c r="K49" s="76" t="s">
        <v>310</v>
      </c>
      <c r="L49" s="116">
        <v>45261</v>
      </c>
      <c r="M49" s="116">
        <v>45352</v>
      </c>
      <c r="N49" s="106" t="s">
        <v>62</v>
      </c>
      <c r="O49" s="102" t="s">
        <v>63</v>
      </c>
      <c r="P49" s="103"/>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row>
    <row r="50" s="25" customFormat="1" ht="39" customHeight="1" spans="1:251">
      <c r="A50" s="56">
        <v>43</v>
      </c>
      <c r="B50" s="74" t="s">
        <v>1458</v>
      </c>
      <c r="C50" s="74" t="s">
        <v>24</v>
      </c>
      <c r="D50" s="70" t="s">
        <v>58</v>
      </c>
      <c r="E50" s="80" t="s">
        <v>1459</v>
      </c>
      <c r="F50" s="60">
        <v>950</v>
      </c>
      <c r="G50" s="74" t="s">
        <v>73</v>
      </c>
      <c r="H50" s="61" t="s">
        <v>1367</v>
      </c>
      <c r="I50" s="104" t="s">
        <v>310</v>
      </c>
      <c r="J50" s="76" t="s">
        <v>310</v>
      </c>
      <c r="K50" s="116" t="s">
        <v>310</v>
      </c>
      <c r="L50" s="116">
        <v>45292</v>
      </c>
      <c r="M50" s="116">
        <v>45352</v>
      </c>
      <c r="N50" s="106" t="s">
        <v>273</v>
      </c>
      <c r="O50" s="102"/>
      <c r="P50" s="103"/>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row>
    <row r="51" s="25" customFormat="1" ht="41" customHeight="1" spans="1:251">
      <c r="A51" s="56">
        <v>44</v>
      </c>
      <c r="B51" s="74" t="s">
        <v>1460</v>
      </c>
      <c r="C51" s="74" t="s">
        <v>24</v>
      </c>
      <c r="D51" s="58" t="s">
        <v>209</v>
      </c>
      <c r="E51" s="80" t="s">
        <v>1461</v>
      </c>
      <c r="F51" s="60">
        <v>800</v>
      </c>
      <c r="G51" s="74" t="s">
        <v>364</v>
      </c>
      <c r="H51" s="61" t="s">
        <v>1367</v>
      </c>
      <c r="I51" s="104" t="s">
        <v>310</v>
      </c>
      <c r="J51" s="76" t="s">
        <v>310</v>
      </c>
      <c r="K51" s="116" t="s">
        <v>310</v>
      </c>
      <c r="L51" s="116">
        <v>45261</v>
      </c>
      <c r="M51" s="116">
        <v>45292</v>
      </c>
      <c r="N51" s="106" t="s">
        <v>107</v>
      </c>
      <c r="O51" s="102" t="s">
        <v>63</v>
      </c>
      <c r="P51" s="103"/>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row>
    <row r="52" s="25" customFormat="1" ht="84" customHeight="1" spans="1:257">
      <c r="A52" s="56">
        <v>45</v>
      </c>
      <c r="B52" s="81" t="s">
        <v>1462</v>
      </c>
      <c r="C52" s="81" t="s">
        <v>24</v>
      </c>
      <c r="D52" s="62" t="s">
        <v>58</v>
      </c>
      <c r="E52" s="63" t="s">
        <v>1463</v>
      </c>
      <c r="F52" s="60">
        <v>9500</v>
      </c>
      <c r="G52" s="62" t="s">
        <v>1179</v>
      </c>
      <c r="H52" s="61" t="s">
        <v>1367</v>
      </c>
      <c r="I52" s="104" t="s">
        <v>310</v>
      </c>
      <c r="J52" s="126">
        <v>45323</v>
      </c>
      <c r="K52" s="126">
        <v>45352</v>
      </c>
      <c r="L52" s="126">
        <v>45413</v>
      </c>
      <c r="M52" s="126">
        <v>45444</v>
      </c>
      <c r="N52" s="104" t="s">
        <v>62</v>
      </c>
      <c r="O52" s="102" t="s">
        <v>63</v>
      </c>
      <c r="P52" s="36"/>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26"/>
      <c r="IS52" s="26"/>
      <c r="IT52" s="26"/>
      <c r="IU52" s="26"/>
      <c r="IV52" s="26"/>
      <c r="IW52" s="26"/>
    </row>
    <row r="53" s="25" customFormat="1" ht="83" customHeight="1" spans="1:251">
      <c r="A53" s="56">
        <v>46</v>
      </c>
      <c r="B53" s="58" t="s">
        <v>1464</v>
      </c>
      <c r="C53" s="74" t="s">
        <v>24</v>
      </c>
      <c r="D53" s="58" t="s">
        <v>140</v>
      </c>
      <c r="E53" s="71" t="s">
        <v>1465</v>
      </c>
      <c r="F53" s="60">
        <v>17190.1</v>
      </c>
      <c r="G53" s="58" t="s">
        <v>1351</v>
      </c>
      <c r="H53" s="61" t="s">
        <v>1367</v>
      </c>
      <c r="I53" s="104" t="s">
        <v>310</v>
      </c>
      <c r="J53" s="116">
        <v>45413</v>
      </c>
      <c r="K53" s="116">
        <v>45444</v>
      </c>
      <c r="L53" s="116">
        <v>45474</v>
      </c>
      <c r="M53" s="116">
        <v>45533</v>
      </c>
      <c r="N53" s="106" t="s">
        <v>62</v>
      </c>
      <c r="O53" s="102" t="s">
        <v>63</v>
      </c>
      <c r="P53" s="103" t="s">
        <v>1409</v>
      </c>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row>
    <row r="54" s="25" customFormat="1" ht="69" customHeight="1" spans="1:251">
      <c r="A54" s="56">
        <v>47</v>
      </c>
      <c r="B54" s="74" t="s">
        <v>1466</v>
      </c>
      <c r="C54" s="74" t="s">
        <v>24</v>
      </c>
      <c r="D54" s="74" t="s">
        <v>209</v>
      </c>
      <c r="E54" s="80" t="s">
        <v>1467</v>
      </c>
      <c r="F54" s="60">
        <v>4284.74</v>
      </c>
      <c r="G54" s="74" t="s">
        <v>1179</v>
      </c>
      <c r="H54" s="61" t="s">
        <v>1367</v>
      </c>
      <c r="I54" s="104" t="s">
        <v>310</v>
      </c>
      <c r="J54" s="106">
        <v>45261</v>
      </c>
      <c r="K54" s="106" t="s">
        <v>310</v>
      </c>
      <c r="L54" s="106">
        <v>45352</v>
      </c>
      <c r="M54" s="106">
        <v>45383</v>
      </c>
      <c r="N54" s="106" t="s">
        <v>95</v>
      </c>
      <c r="O54" s="102" t="s">
        <v>63</v>
      </c>
      <c r="P54" s="103"/>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row>
    <row r="55" s="25" customFormat="1" ht="90" customHeight="1" spans="1:251">
      <c r="A55" s="56">
        <v>48</v>
      </c>
      <c r="B55" s="58" t="s">
        <v>1468</v>
      </c>
      <c r="C55" s="74" t="s">
        <v>24</v>
      </c>
      <c r="D55" s="58" t="s">
        <v>209</v>
      </c>
      <c r="E55" s="71" t="s">
        <v>1469</v>
      </c>
      <c r="F55" s="60">
        <v>18700</v>
      </c>
      <c r="G55" s="58" t="s">
        <v>1351</v>
      </c>
      <c r="H55" s="61" t="s">
        <v>1367</v>
      </c>
      <c r="I55" s="104" t="s">
        <v>310</v>
      </c>
      <c r="J55" s="106">
        <v>45473</v>
      </c>
      <c r="K55" s="104">
        <v>45504</v>
      </c>
      <c r="L55" s="106">
        <v>46996</v>
      </c>
      <c r="M55" s="106">
        <v>45199</v>
      </c>
      <c r="N55" s="106" t="s">
        <v>62</v>
      </c>
      <c r="O55" s="102"/>
      <c r="P55" s="103"/>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row>
    <row r="56" s="25" customFormat="1" ht="90" customHeight="1" spans="1:251">
      <c r="A56" s="56">
        <v>49</v>
      </c>
      <c r="B56" s="58" t="s">
        <v>1470</v>
      </c>
      <c r="C56" s="74" t="s">
        <v>24</v>
      </c>
      <c r="D56" s="58" t="s">
        <v>209</v>
      </c>
      <c r="E56" s="71" t="s">
        <v>1471</v>
      </c>
      <c r="F56" s="60">
        <v>690</v>
      </c>
      <c r="G56" s="58" t="s">
        <v>1315</v>
      </c>
      <c r="H56" s="61" t="s">
        <v>1367</v>
      </c>
      <c r="I56" s="104" t="s">
        <v>310</v>
      </c>
      <c r="J56" s="106">
        <v>45442</v>
      </c>
      <c r="K56" s="106" t="s">
        <v>310</v>
      </c>
      <c r="L56" s="106"/>
      <c r="M56" s="106"/>
      <c r="N56" s="106" t="s">
        <v>62</v>
      </c>
      <c r="O56" s="102"/>
      <c r="P56" s="103"/>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row>
    <row r="57" s="25" customFormat="1" ht="90" customHeight="1" spans="1:251">
      <c r="A57" s="56">
        <v>50</v>
      </c>
      <c r="B57" s="58" t="s">
        <v>1472</v>
      </c>
      <c r="C57" s="74" t="s">
        <v>24</v>
      </c>
      <c r="D57" s="58" t="s">
        <v>58</v>
      </c>
      <c r="E57" s="71" t="s">
        <v>1473</v>
      </c>
      <c r="F57" s="60">
        <v>1170</v>
      </c>
      <c r="G57" s="58" t="s">
        <v>1315</v>
      </c>
      <c r="H57" s="61" t="s">
        <v>1367</v>
      </c>
      <c r="I57" s="104" t="s">
        <v>310</v>
      </c>
      <c r="J57" s="106">
        <v>45413</v>
      </c>
      <c r="K57" s="104" t="s">
        <v>310</v>
      </c>
      <c r="L57" s="106"/>
      <c r="M57" s="106"/>
      <c r="N57" s="106" t="s">
        <v>107</v>
      </c>
      <c r="O57" s="102" t="s">
        <v>63</v>
      </c>
      <c r="P57" s="103"/>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row>
    <row r="58" s="25" customFormat="1" ht="50" customHeight="1" spans="1:251">
      <c r="A58" s="56">
        <v>51</v>
      </c>
      <c r="B58" s="58" t="s">
        <v>1474</v>
      </c>
      <c r="C58" s="74" t="s">
        <v>24</v>
      </c>
      <c r="D58" s="58" t="s">
        <v>58</v>
      </c>
      <c r="E58" s="71" t="s">
        <v>1475</v>
      </c>
      <c r="F58" s="60">
        <v>830</v>
      </c>
      <c r="G58" s="58" t="s">
        <v>1315</v>
      </c>
      <c r="H58" s="61" t="s">
        <v>1367</v>
      </c>
      <c r="I58" s="104" t="s">
        <v>310</v>
      </c>
      <c r="J58" s="104" t="s">
        <v>310</v>
      </c>
      <c r="K58" s="104" t="s">
        <v>310</v>
      </c>
      <c r="L58" s="106"/>
      <c r="M58" s="106"/>
      <c r="N58" s="106" t="s">
        <v>107</v>
      </c>
      <c r="O58" s="102" t="s">
        <v>63</v>
      </c>
      <c r="P58" s="103"/>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row>
    <row r="59" s="25" customFormat="1" ht="55" customHeight="1" spans="1:251">
      <c r="A59" s="56">
        <v>52</v>
      </c>
      <c r="B59" s="58" t="s">
        <v>1476</v>
      </c>
      <c r="C59" s="74" t="s">
        <v>24</v>
      </c>
      <c r="D59" s="58" t="s">
        <v>50</v>
      </c>
      <c r="E59" s="71" t="s">
        <v>1477</v>
      </c>
      <c r="F59" s="60">
        <v>2300</v>
      </c>
      <c r="G59" s="58" t="s">
        <v>1315</v>
      </c>
      <c r="H59" s="61" t="s">
        <v>1367</v>
      </c>
      <c r="I59" s="104" t="s">
        <v>310</v>
      </c>
      <c r="J59" s="106">
        <v>45352</v>
      </c>
      <c r="K59" s="104" t="s">
        <v>310</v>
      </c>
      <c r="L59" s="106"/>
      <c r="M59" s="106"/>
      <c r="N59" s="106" t="s">
        <v>107</v>
      </c>
      <c r="O59" s="102"/>
      <c r="P59" s="103"/>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row>
    <row r="60" s="25" customFormat="1" ht="70" customHeight="1" spans="1:251">
      <c r="A60" s="56">
        <v>53</v>
      </c>
      <c r="B60" s="58" t="s">
        <v>1478</v>
      </c>
      <c r="C60" s="74" t="s">
        <v>24</v>
      </c>
      <c r="D60" s="58" t="s">
        <v>140</v>
      </c>
      <c r="E60" s="71" t="s">
        <v>1479</v>
      </c>
      <c r="F60" s="60">
        <v>2500</v>
      </c>
      <c r="G60" s="58" t="s">
        <v>1315</v>
      </c>
      <c r="H60" s="61" t="s">
        <v>1367</v>
      </c>
      <c r="I60" s="104" t="s">
        <v>310</v>
      </c>
      <c r="J60" s="106">
        <v>45383</v>
      </c>
      <c r="K60" s="106" t="s">
        <v>310</v>
      </c>
      <c r="L60" s="106"/>
      <c r="M60" s="106"/>
      <c r="N60" s="106" t="s">
        <v>62</v>
      </c>
      <c r="O60" s="102" t="s">
        <v>63</v>
      </c>
      <c r="P60" s="103" t="s">
        <v>1480</v>
      </c>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row>
    <row r="61" s="25" customFormat="1" ht="151" customHeight="1" spans="1:251">
      <c r="A61" s="56">
        <v>54</v>
      </c>
      <c r="B61" s="58" t="s">
        <v>1481</v>
      </c>
      <c r="C61" s="74" t="s">
        <v>24</v>
      </c>
      <c r="D61" s="58" t="s">
        <v>140</v>
      </c>
      <c r="E61" s="71" t="s">
        <v>1482</v>
      </c>
      <c r="F61" s="60">
        <v>1800</v>
      </c>
      <c r="G61" s="58" t="s">
        <v>1315</v>
      </c>
      <c r="H61" s="61" t="s">
        <v>1367</v>
      </c>
      <c r="I61" s="104" t="s">
        <v>310</v>
      </c>
      <c r="J61" s="106">
        <v>45383</v>
      </c>
      <c r="K61" s="106" t="s">
        <v>310</v>
      </c>
      <c r="L61" s="106"/>
      <c r="M61" s="106"/>
      <c r="N61" s="106" t="s">
        <v>62</v>
      </c>
      <c r="O61" s="102" t="s">
        <v>63</v>
      </c>
      <c r="P61" s="103" t="s">
        <v>1480</v>
      </c>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row>
    <row r="62" s="25" customFormat="1" ht="63" customHeight="1" spans="1:251">
      <c r="A62" s="56">
        <v>55</v>
      </c>
      <c r="B62" s="58" t="s">
        <v>1483</v>
      </c>
      <c r="C62" s="74" t="s">
        <v>24</v>
      </c>
      <c r="D62" s="58" t="s">
        <v>140</v>
      </c>
      <c r="E62" s="71" t="s">
        <v>1484</v>
      </c>
      <c r="F62" s="60">
        <v>1400</v>
      </c>
      <c r="G62" s="58" t="s">
        <v>1315</v>
      </c>
      <c r="H62" s="61" t="s">
        <v>1367</v>
      </c>
      <c r="I62" s="104" t="s">
        <v>310</v>
      </c>
      <c r="J62" s="106">
        <v>45383</v>
      </c>
      <c r="K62" s="106" t="s">
        <v>310</v>
      </c>
      <c r="L62" s="106"/>
      <c r="M62" s="106"/>
      <c r="N62" s="106" t="s">
        <v>62</v>
      </c>
      <c r="O62" s="102" t="s">
        <v>63</v>
      </c>
      <c r="P62" s="103" t="s">
        <v>1480</v>
      </c>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row>
    <row r="63" s="25" customFormat="1" ht="42" customHeight="1" spans="1:251">
      <c r="A63" s="56">
        <v>56</v>
      </c>
      <c r="B63" s="58" t="s">
        <v>1485</v>
      </c>
      <c r="C63" s="74" t="s">
        <v>24</v>
      </c>
      <c r="D63" s="58" t="s">
        <v>1486</v>
      </c>
      <c r="E63" s="71" t="s">
        <v>1487</v>
      </c>
      <c r="F63" s="60">
        <v>15000</v>
      </c>
      <c r="G63" s="58" t="s">
        <v>1351</v>
      </c>
      <c r="H63" s="61" t="s">
        <v>1290</v>
      </c>
      <c r="I63" s="104" t="s">
        <v>310</v>
      </c>
      <c r="J63" s="106">
        <v>45474</v>
      </c>
      <c r="K63" s="106">
        <v>45536</v>
      </c>
      <c r="L63" s="106"/>
      <c r="M63" s="106"/>
      <c r="N63" s="106" t="s">
        <v>62</v>
      </c>
      <c r="O63" s="102" t="s">
        <v>63</v>
      </c>
      <c r="P63" s="103"/>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row>
    <row r="64" s="25" customFormat="1" ht="96" customHeight="1" spans="1:251">
      <c r="A64" s="56">
        <v>57</v>
      </c>
      <c r="B64" s="62" t="s">
        <v>1488</v>
      </c>
      <c r="C64" s="74" t="s">
        <v>24</v>
      </c>
      <c r="D64" s="62" t="s">
        <v>140</v>
      </c>
      <c r="E64" s="63" t="s">
        <v>1489</v>
      </c>
      <c r="F64" s="60">
        <v>516552.96</v>
      </c>
      <c r="G64" s="62" t="s">
        <v>364</v>
      </c>
      <c r="H64" s="61" t="s">
        <v>1367</v>
      </c>
      <c r="I64" s="104" t="s">
        <v>310</v>
      </c>
      <c r="J64" s="102" t="s">
        <v>310</v>
      </c>
      <c r="K64" s="102" t="s">
        <v>310</v>
      </c>
      <c r="L64" s="102" t="s">
        <v>310</v>
      </c>
      <c r="M64" s="102" t="s">
        <v>310</v>
      </c>
      <c r="N64" s="102"/>
      <c r="O64" s="127" t="s">
        <v>1490</v>
      </c>
      <c r="P64" s="103" t="s">
        <v>1490</v>
      </c>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row>
    <row r="65" s="25" customFormat="1" ht="69" customHeight="1" spans="1:251">
      <c r="A65" s="56">
        <v>58</v>
      </c>
      <c r="B65" s="62" t="s">
        <v>1491</v>
      </c>
      <c r="C65" s="74" t="s">
        <v>24</v>
      </c>
      <c r="D65" s="62" t="s">
        <v>140</v>
      </c>
      <c r="E65" s="63" t="s">
        <v>1492</v>
      </c>
      <c r="F65" s="60">
        <v>427618.17</v>
      </c>
      <c r="G65" s="62" t="s">
        <v>364</v>
      </c>
      <c r="H65" s="61" t="s">
        <v>1367</v>
      </c>
      <c r="I65" s="104" t="s">
        <v>310</v>
      </c>
      <c r="J65" s="102" t="s">
        <v>310</v>
      </c>
      <c r="K65" s="102" t="s">
        <v>310</v>
      </c>
      <c r="L65" s="102" t="s">
        <v>310</v>
      </c>
      <c r="M65" s="102" t="s">
        <v>310</v>
      </c>
      <c r="N65" s="102"/>
      <c r="O65" s="127" t="s">
        <v>1490</v>
      </c>
      <c r="P65" s="103" t="s">
        <v>1490</v>
      </c>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row>
    <row r="66" s="25" customFormat="1" ht="100" customHeight="1" spans="1:251">
      <c r="A66" s="56">
        <v>59</v>
      </c>
      <c r="B66" s="62" t="s">
        <v>1493</v>
      </c>
      <c r="C66" s="74" t="s">
        <v>24</v>
      </c>
      <c r="D66" s="62" t="s">
        <v>140</v>
      </c>
      <c r="E66" s="63" t="s">
        <v>1494</v>
      </c>
      <c r="F66" s="60">
        <v>398034.48</v>
      </c>
      <c r="G66" s="62" t="s">
        <v>364</v>
      </c>
      <c r="H66" s="61" t="s">
        <v>1367</v>
      </c>
      <c r="I66" s="104" t="s">
        <v>310</v>
      </c>
      <c r="J66" s="102" t="s">
        <v>310</v>
      </c>
      <c r="K66" s="102" t="s">
        <v>310</v>
      </c>
      <c r="L66" s="102" t="s">
        <v>310</v>
      </c>
      <c r="M66" s="102" t="s">
        <v>310</v>
      </c>
      <c r="N66" s="102"/>
      <c r="O66" s="127" t="s">
        <v>1490</v>
      </c>
      <c r="P66" s="103" t="s">
        <v>1490</v>
      </c>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row>
    <row r="67" s="25" customFormat="1" ht="68" customHeight="1" spans="1:251">
      <c r="A67" s="56">
        <v>60</v>
      </c>
      <c r="B67" s="62" t="s">
        <v>1495</v>
      </c>
      <c r="C67" s="74" t="s">
        <v>24</v>
      </c>
      <c r="D67" s="62" t="s">
        <v>140</v>
      </c>
      <c r="E67" s="63" t="s">
        <v>1496</v>
      </c>
      <c r="F67" s="60">
        <v>297972.05</v>
      </c>
      <c r="G67" s="62" t="s">
        <v>364</v>
      </c>
      <c r="H67" s="61" t="s">
        <v>1367</v>
      </c>
      <c r="I67" s="104" t="s">
        <v>310</v>
      </c>
      <c r="J67" s="102" t="s">
        <v>310</v>
      </c>
      <c r="K67" s="102" t="s">
        <v>310</v>
      </c>
      <c r="L67" s="102" t="s">
        <v>310</v>
      </c>
      <c r="M67" s="102" t="s">
        <v>310</v>
      </c>
      <c r="N67" s="102"/>
      <c r="O67" s="127" t="s">
        <v>1490</v>
      </c>
      <c r="P67" s="103" t="s">
        <v>1490</v>
      </c>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row>
    <row r="68" s="25" customFormat="1" ht="71" customHeight="1" spans="1:251">
      <c r="A68" s="56">
        <v>61</v>
      </c>
      <c r="B68" s="62" t="s">
        <v>1497</v>
      </c>
      <c r="C68" s="74" t="s">
        <v>24</v>
      </c>
      <c r="D68" s="62" t="s">
        <v>140</v>
      </c>
      <c r="E68" s="63" t="s">
        <v>1498</v>
      </c>
      <c r="F68" s="60">
        <v>286474.38</v>
      </c>
      <c r="G68" s="62" t="s">
        <v>364</v>
      </c>
      <c r="H68" s="61" t="s">
        <v>1367</v>
      </c>
      <c r="I68" s="104" t="s">
        <v>310</v>
      </c>
      <c r="J68" s="102" t="s">
        <v>310</v>
      </c>
      <c r="K68" s="102" t="s">
        <v>310</v>
      </c>
      <c r="L68" s="102" t="s">
        <v>310</v>
      </c>
      <c r="M68" s="102" t="s">
        <v>310</v>
      </c>
      <c r="N68" s="102"/>
      <c r="O68" s="127" t="s">
        <v>1490</v>
      </c>
      <c r="P68" s="103" t="s">
        <v>1490</v>
      </c>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row>
    <row r="69" s="25" customFormat="1" ht="72" spans="1:251">
      <c r="A69" s="56">
        <v>62</v>
      </c>
      <c r="B69" s="62" t="s">
        <v>1499</v>
      </c>
      <c r="C69" s="74" t="s">
        <v>24</v>
      </c>
      <c r="D69" s="62" t="s">
        <v>140</v>
      </c>
      <c r="E69" s="63" t="s">
        <v>1500</v>
      </c>
      <c r="F69" s="60">
        <v>279533.88</v>
      </c>
      <c r="G69" s="62" t="s">
        <v>1351</v>
      </c>
      <c r="H69" s="61" t="s">
        <v>1367</v>
      </c>
      <c r="I69" s="104" t="s">
        <v>310</v>
      </c>
      <c r="J69" s="102" t="s">
        <v>310</v>
      </c>
      <c r="K69" s="102" t="s">
        <v>310</v>
      </c>
      <c r="L69" s="102" t="s">
        <v>310</v>
      </c>
      <c r="M69" s="102" t="s">
        <v>310</v>
      </c>
      <c r="N69" s="102"/>
      <c r="O69" s="127" t="s">
        <v>1490</v>
      </c>
      <c r="P69" s="103" t="s">
        <v>1490</v>
      </c>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row>
    <row r="70" s="25" customFormat="1" ht="69" customHeight="1" spans="1:251">
      <c r="A70" s="56">
        <v>63</v>
      </c>
      <c r="B70" s="81" t="s">
        <v>1501</v>
      </c>
      <c r="C70" s="74" t="s">
        <v>24</v>
      </c>
      <c r="D70" s="81" t="s">
        <v>140</v>
      </c>
      <c r="E70" s="82" t="s">
        <v>1502</v>
      </c>
      <c r="F70" s="60">
        <v>278250.33</v>
      </c>
      <c r="G70" s="81" t="s">
        <v>364</v>
      </c>
      <c r="H70" s="61" t="s">
        <v>1367</v>
      </c>
      <c r="I70" s="104" t="s">
        <v>310</v>
      </c>
      <c r="J70" s="114" t="s">
        <v>310</v>
      </c>
      <c r="K70" s="114" t="s">
        <v>310</v>
      </c>
      <c r="L70" s="114" t="s">
        <v>310</v>
      </c>
      <c r="M70" s="114" t="s">
        <v>310</v>
      </c>
      <c r="N70" s="114"/>
      <c r="O70" s="139" t="s">
        <v>1490</v>
      </c>
      <c r="P70" s="103" t="s">
        <v>1490</v>
      </c>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row>
    <row r="71" s="25" customFormat="1" ht="98" customHeight="1" spans="1:251">
      <c r="A71" s="56">
        <v>64</v>
      </c>
      <c r="B71" s="81" t="s">
        <v>1503</v>
      </c>
      <c r="C71" s="74" t="s">
        <v>24</v>
      </c>
      <c r="D71" s="81" t="s">
        <v>140</v>
      </c>
      <c r="E71" s="82" t="s">
        <v>1504</v>
      </c>
      <c r="F71" s="60">
        <v>275232.57</v>
      </c>
      <c r="G71" s="81" t="s">
        <v>364</v>
      </c>
      <c r="H71" s="61" t="s">
        <v>1367</v>
      </c>
      <c r="I71" s="104" t="s">
        <v>310</v>
      </c>
      <c r="J71" s="102" t="s">
        <v>310</v>
      </c>
      <c r="K71" s="102" t="s">
        <v>310</v>
      </c>
      <c r="L71" s="102" t="s">
        <v>310</v>
      </c>
      <c r="M71" s="102" t="s">
        <v>310</v>
      </c>
      <c r="N71" s="102"/>
      <c r="O71" s="139" t="s">
        <v>1490</v>
      </c>
      <c r="P71" s="103" t="s">
        <v>1490</v>
      </c>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row>
    <row r="72" s="25" customFormat="1" ht="59" customHeight="1" spans="1:251">
      <c r="A72" s="56">
        <v>65</v>
      </c>
      <c r="B72" s="81" t="s">
        <v>1505</v>
      </c>
      <c r="C72" s="74" t="s">
        <v>24</v>
      </c>
      <c r="D72" s="81" t="s">
        <v>140</v>
      </c>
      <c r="E72" s="82" t="s">
        <v>1506</v>
      </c>
      <c r="F72" s="60">
        <v>252857.88</v>
      </c>
      <c r="G72" s="81" t="s">
        <v>364</v>
      </c>
      <c r="H72" s="61" t="s">
        <v>1367</v>
      </c>
      <c r="I72" s="104" t="s">
        <v>310</v>
      </c>
      <c r="J72" s="114" t="s">
        <v>310</v>
      </c>
      <c r="K72" s="114" t="s">
        <v>310</v>
      </c>
      <c r="L72" s="114" t="s">
        <v>310</v>
      </c>
      <c r="M72" s="114" t="s">
        <v>310</v>
      </c>
      <c r="N72" s="114"/>
      <c r="O72" s="139" t="s">
        <v>1490</v>
      </c>
      <c r="P72" s="103" t="s">
        <v>1490</v>
      </c>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c r="ID72" s="28"/>
      <c r="IE72" s="28"/>
      <c r="IF72" s="28"/>
      <c r="IG72" s="28"/>
      <c r="IH72" s="28"/>
      <c r="II72" s="28"/>
      <c r="IJ72" s="28"/>
      <c r="IK72" s="28"/>
      <c r="IL72" s="28"/>
      <c r="IM72" s="28"/>
      <c r="IN72" s="28"/>
      <c r="IO72" s="28"/>
      <c r="IP72" s="28"/>
      <c r="IQ72" s="28"/>
    </row>
    <row r="73" s="25" customFormat="1" ht="70" customHeight="1" spans="1:251">
      <c r="A73" s="56">
        <v>66</v>
      </c>
      <c r="B73" s="81" t="s">
        <v>1507</v>
      </c>
      <c r="C73" s="74" t="s">
        <v>24</v>
      </c>
      <c r="D73" s="81" t="s">
        <v>140</v>
      </c>
      <c r="E73" s="82" t="s">
        <v>1508</v>
      </c>
      <c r="F73" s="60">
        <v>251555.72</v>
      </c>
      <c r="G73" s="81" t="s">
        <v>364</v>
      </c>
      <c r="H73" s="61" t="s">
        <v>1367</v>
      </c>
      <c r="I73" s="104" t="s">
        <v>310</v>
      </c>
      <c r="J73" s="102" t="s">
        <v>310</v>
      </c>
      <c r="K73" s="102" t="s">
        <v>310</v>
      </c>
      <c r="L73" s="102" t="s">
        <v>310</v>
      </c>
      <c r="M73" s="102" t="s">
        <v>310</v>
      </c>
      <c r="N73" s="102"/>
      <c r="O73" s="139" t="s">
        <v>1490</v>
      </c>
      <c r="P73" s="103" t="s">
        <v>1490</v>
      </c>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c r="HM73" s="28"/>
      <c r="HN73" s="28"/>
      <c r="HO73" s="28"/>
      <c r="HP73" s="28"/>
      <c r="HQ73" s="28"/>
      <c r="HR73" s="28"/>
      <c r="HS73" s="28"/>
      <c r="HT73" s="28"/>
      <c r="HU73" s="28"/>
      <c r="HV73" s="28"/>
      <c r="HW73" s="28"/>
      <c r="HX73" s="28"/>
      <c r="HY73" s="28"/>
      <c r="HZ73" s="28"/>
      <c r="IA73" s="28"/>
      <c r="IB73" s="28"/>
      <c r="IC73" s="28"/>
      <c r="ID73" s="28"/>
      <c r="IE73" s="28"/>
      <c r="IF73" s="28"/>
      <c r="IG73" s="28"/>
      <c r="IH73" s="28"/>
      <c r="II73" s="28"/>
      <c r="IJ73" s="28"/>
      <c r="IK73" s="28"/>
      <c r="IL73" s="28"/>
      <c r="IM73" s="28"/>
      <c r="IN73" s="28"/>
      <c r="IO73" s="28"/>
      <c r="IP73" s="28"/>
      <c r="IQ73" s="28"/>
    </row>
    <row r="74" s="25" customFormat="1" ht="111" customHeight="1" spans="1:251">
      <c r="A74" s="56">
        <v>67</v>
      </c>
      <c r="B74" s="81" t="s">
        <v>1509</v>
      </c>
      <c r="C74" s="74" t="s">
        <v>24</v>
      </c>
      <c r="D74" s="81" t="s">
        <v>140</v>
      </c>
      <c r="E74" s="82" t="s">
        <v>1510</v>
      </c>
      <c r="F74" s="60">
        <v>225426.48</v>
      </c>
      <c r="G74" s="81" t="s">
        <v>364</v>
      </c>
      <c r="H74" s="61" t="s">
        <v>1367</v>
      </c>
      <c r="I74" s="104" t="s">
        <v>310</v>
      </c>
      <c r="J74" s="102" t="s">
        <v>310</v>
      </c>
      <c r="K74" s="102" t="s">
        <v>310</v>
      </c>
      <c r="L74" s="102" t="s">
        <v>310</v>
      </c>
      <c r="M74" s="102" t="s">
        <v>310</v>
      </c>
      <c r="N74" s="102"/>
      <c r="O74" s="139" t="s">
        <v>1490</v>
      </c>
      <c r="P74" s="103" t="s">
        <v>1490</v>
      </c>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row>
    <row r="75" s="25" customFormat="1" ht="75" customHeight="1" spans="1:251">
      <c r="A75" s="56">
        <v>68</v>
      </c>
      <c r="B75" s="81" t="s">
        <v>1511</v>
      </c>
      <c r="C75" s="74" t="s">
        <v>24</v>
      </c>
      <c r="D75" s="81" t="s">
        <v>140</v>
      </c>
      <c r="E75" s="82" t="s">
        <v>1512</v>
      </c>
      <c r="F75" s="60">
        <v>217962.69</v>
      </c>
      <c r="G75" s="81" t="s">
        <v>364</v>
      </c>
      <c r="H75" s="61" t="s">
        <v>1367</v>
      </c>
      <c r="I75" s="104" t="s">
        <v>310</v>
      </c>
      <c r="J75" s="114" t="s">
        <v>310</v>
      </c>
      <c r="K75" s="114" t="s">
        <v>310</v>
      </c>
      <c r="L75" s="114" t="s">
        <v>310</v>
      </c>
      <c r="M75" s="114" t="s">
        <v>310</v>
      </c>
      <c r="N75" s="114"/>
      <c r="O75" s="139" t="s">
        <v>1490</v>
      </c>
      <c r="P75" s="103" t="s">
        <v>1490</v>
      </c>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row>
    <row r="76" s="25" customFormat="1" ht="66" customHeight="1" spans="1:251">
      <c r="A76" s="56">
        <v>69</v>
      </c>
      <c r="B76" s="81" t="s">
        <v>1513</v>
      </c>
      <c r="C76" s="74" t="s">
        <v>24</v>
      </c>
      <c r="D76" s="81" t="s">
        <v>140</v>
      </c>
      <c r="E76" s="82" t="s">
        <v>1514</v>
      </c>
      <c r="F76" s="60">
        <v>187847.02</v>
      </c>
      <c r="G76" s="81" t="s">
        <v>364</v>
      </c>
      <c r="H76" s="61" t="s">
        <v>1367</v>
      </c>
      <c r="I76" s="104" t="s">
        <v>310</v>
      </c>
      <c r="J76" s="114" t="s">
        <v>310</v>
      </c>
      <c r="K76" s="114" t="s">
        <v>310</v>
      </c>
      <c r="L76" s="114" t="s">
        <v>310</v>
      </c>
      <c r="M76" s="114" t="s">
        <v>310</v>
      </c>
      <c r="N76" s="114"/>
      <c r="O76" s="139" t="s">
        <v>1490</v>
      </c>
      <c r="P76" s="103" t="s">
        <v>1490</v>
      </c>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row>
    <row r="77" s="25" customFormat="1" ht="67" customHeight="1" spans="1:251">
      <c r="A77" s="56">
        <v>70</v>
      </c>
      <c r="B77" s="81" t="s">
        <v>1515</v>
      </c>
      <c r="C77" s="74" t="s">
        <v>24</v>
      </c>
      <c r="D77" s="81" t="s">
        <v>140</v>
      </c>
      <c r="E77" s="82" t="s">
        <v>1516</v>
      </c>
      <c r="F77" s="60">
        <v>182345.15</v>
      </c>
      <c r="G77" s="81" t="s">
        <v>1351</v>
      </c>
      <c r="H77" s="61" t="s">
        <v>1367</v>
      </c>
      <c r="I77" s="104" t="s">
        <v>310</v>
      </c>
      <c r="J77" s="102" t="s">
        <v>310</v>
      </c>
      <c r="K77" s="102" t="s">
        <v>310</v>
      </c>
      <c r="L77" s="102" t="s">
        <v>310</v>
      </c>
      <c r="M77" s="102" t="s">
        <v>310</v>
      </c>
      <c r="N77" s="102"/>
      <c r="O77" s="139" t="s">
        <v>1490</v>
      </c>
      <c r="P77" s="103" t="s">
        <v>1490</v>
      </c>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row>
    <row r="78" s="25" customFormat="1" ht="84" customHeight="1" spans="1:251">
      <c r="A78" s="56">
        <v>71</v>
      </c>
      <c r="B78" s="81" t="s">
        <v>1517</v>
      </c>
      <c r="C78" s="74" t="s">
        <v>24</v>
      </c>
      <c r="D78" s="81" t="s">
        <v>140</v>
      </c>
      <c r="E78" s="82" t="s">
        <v>1518</v>
      </c>
      <c r="F78" s="60">
        <v>137853.81</v>
      </c>
      <c r="G78" s="81" t="s">
        <v>1351</v>
      </c>
      <c r="H78" s="61" t="s">
        <v>1367</v>
      </c>
      <c r="I78" s="104" t="s">
        <v>310</v>
      </c>
      <c r="J78" s="102" t="s">
        <v>310</v>
      </c>
      <c r="K78" s="102" t="s">
        <v>310</v>
      </c>
      <c r="L78" s="102" t="s">
        <v>310</v>
      </c>
      <c r="M78" s="102" t="s">
        <v>310</v>
      </c>
      <c r="N78" s="102"/>
      <c r="O78" s="139" t="s">
        <v>1490</v>
      </c>
      <c r="P78" s="103" t="s">
        <v>1490</v>
      </c>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c r="IH78" s="28"/>
      <c r="II78" s="28"/>
      <c r="IJ78" s="28"/>
      <c r="IK78" s="28"/>
      <c r="IL78" s="28"/>
      <c r="IM78" s="28"/>
      <c r="IN78" s="28"/>
      <c r="IO78" s="28"/>
      <c r="IP78" s="28"/>
      <c r="IQ78" s="28"/>
    </row>
    <row r="79" s="25" customFormat="1" ht="95" customHeight="1" spans="1:251">
      <c r="A79" s="56">
        <v>72</v>
      </c>
      <c r="B79" s="81" t="s">
        <v>1519</v>
      </c>
      <c r="C79" s="74" t="s">
        <v>24</v>
      </c>
      <c r="D79" s="81" t="s">
        <v>140</v>
      </c>
      <c r="E79" s="82" t="s">
        <v>1494</v>
      </c>
      <c r="F79" s="60">
        <v>98547.94</v>
      </c>
      <c r="G79" s="81" t="s">
        <v>364</v>
      </c>
      <c r="H79" s="61" t="s">
        <v>1367</v>
      </c>
      <c r="I79" s="104" t="s">
        <v>310</v>
      </c>
      <c r="J79" s="102" t="s">
        <v>310</v>
      </c>
      <c r="K79" s="102" t="s">
        <v>310</v>
      </c>
      <c r="L79" s="102" t="s">
        <v>310</v>
      </c>
      <c r="M79" s="102" t="s">
        <v>310</v>
      </c>
      <c r="N79" s="102"/>
      <c r="O79" s="139" t="s">
        <v>1490</v>
      </c>
      <c r="P79" s="103" t="s">
        <v>1490</v>
      </c>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c r="IO79" s="28"/>
      <c r="IP79" s="28"/>
      <c r="IQ79" s="28"/>
    </row>
    <row r="80" s="25" customFormat="1" ht="57" customHeight="1" spans="1:251">
      <c r="A80" s="56">
        <v>73</v>
      </c>
      <c r="B80" s="81" t="s">
        <v>1520</v>
      </c>
      <c r="C80" s="74" t="s">
        <v>24</v>
      </c>
      <c r="D80" s="81" t="s">
        <v>140</v>
      </c>
      <c r="E80" s="82" t="s">
        <v>1521</v>
      </c>
      <c r="F80" s="60">
        <v>93764.67</v>
      </c>
      <c r="G80" s="81" t="s">
        <v>364</v>
      </c>
      <c r="H80" s="61" t="s">
        <v>1367</v>
      </c>
      <c r="I80" s="104" t="s">
        <v>310</v>
      </c>
      <c r="J80" s="102" t="s">
        <v>310</v>
      </c>
      <c r="K80" s="102" t="s">
        <v>310</v>
      </c>
      <c r="L80" s="102" t="s">
        <v>310</v>
      </c>
      <c r="M80" s="102" t="s">
        <v>310</v>
      </c>
      <c r="N80" s="102"/>
      <c r="O80" s="139" t="s">
        <v>1490</v>
      </c>
      <c r="P80" s="103" t="s">
        <v>1490</v>
      </c>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row>
    <row r="81" s="25" customFormat="1" ht="129" customHeight="1" spans="1:251">
      <c r="A81" s="56">
        <v>74</v>
      </c>
      <c r="B81" s="81" t="s">
        <v>1522</v>
      </c>
      <c r="C81" s="74" t="s">
        <v>24</v>
      </c>
      <c r="D81" s="81" t="s">
        <v>140</v>
      </c>
      <c r="E81" s="82" t="s">
        <v>1523</v>
      </c>
      <c r="F81" s="60">
        <v>36433.88</v>
      </c>
      <c r="G81" s="81" t="s">
        <v>364</v>
      </c>
      <c r="H81" s="61" t="s">
        <v>1367</v>
      </c>
      <c r="I81" s="104" t="s">
        <v>310</v>
      </c>
      <c r="J81" s="102" t="s">
        <v>310</v>
      </c>
      <c r="K81" s="102" t="s">
        <v>310</v>
      </c>
      <c r="L81" s="102" t="s">
        <v>310</v>
      </c>
      <c r="M81" s="102" t="s">
        <v>310</v>
      </c>
      <c r="N81" s="102"/>
      <c r="O81" s="139" t="s">
        <v>1490</v>
      </c>
      <c r="P81" s="103" t="s">
        <v>1490</v>
      </c>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row>
    <row r="82" s="25" customFormat="1" ht="98" customHeight="1" spans="1:251">
      <c r="A82" s="56">
        <v>75</v>
      </c>
      <c r="B82" s="81" t="s">
        <v>1524</v>
      </c>
      <c r="C82" s="74" t="s">
        <v>24</v>
      </c>
      <c r="D82" s="81" t="s">
        <v>140</v>
      </c>
      <c r="E82" s="82" t="s">
        <v>1525</v>
      </c>
      <c r="F82" s="60">
        <v>35394.33</v>
      </c>
      <c r="G82" s="81" t="s">
        <v>1351</v>
      </c>
      <c r="H82" s="61" t="s">
        <v>1367</v>
      </c>
      <c r="I82" s="104" t="s">
        <v>310</v>
      </c>
      <c r="J82" s="102" t="s">
        <v>310</v>
      </c>
      <c r="K82" s="102" t="s">
        <v>310</v>
      </c>
      <c r="L82" s="102" t="s">
        <v>310</v>
      </c>
      <c r="M82" s="102" t="s">
        <v>310</v>
      </c>
      <c r="N82" s="102"/>
      <c r="O82" s="139" t="s">
        <v>1490</v>
      </c>
      <c r="P82" s="103" t="s">
        <v>1490</v>
      </c>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row>
    <row r="83" s="25" customFormat="1" ht="117" customHeight="1" spans="1:251">
      <c r="A83" s="56">
        <v>76</v>
      </c>
      <c r="B83" s="81" t="s">
        <v>1526</v>
      </c>
      <c r="C83" s="74" t="s">
        <v>24</v>
      </c>
      <c r="D83" s="81" t="s">
        <v>140</v>
      </c>
      <c r="E83" s="82" t="s">
        <v>1527</v>
      </c>
      <c r="F83" s="60">
        <v>8325.75</v>
      </c>
      <c r="G83" s="81" t="s">
        <v>364</v>
      </c>
      <c r="H83" s="61" t="s">
        <v>1367</v>
      </c>
      <c r="I83" s="104" t="s">
        <v>310</v>
      </c>
      <c r="J83" s="102" t="s">
        <v>310</v>
      </c>
      <c r="K83" s="102" t="s">
        <v>310</v>
      </c>
      <c r="L83" s="102" t="s">
        <v>310</v>
      </c>
      <c r="M83" s="102" t="s">
        <v>310</v>
      </c>
      <c r="N83" s="102"/>
      <c r="O83" s="139" t="s">
        <v>1490</v>
      </c>
      <c r="P83" s="103" t="s">
        <v>1490</v>
      </c>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c r="IO83" s="28"/>
      <c r="IP83" s="28"/>
      <c r="IQ83" s="28"/>
    </row>
    <row r="84" s="25" customFormat="1" ht="52" customHeight="1" spans="1:251">
      <c r="A84" s="56">
        <v>77</v>
      </c>
      <c r="B84" s="132" t="s">
        <v>1528</v>
      </c>
      <c r="C84" s="132" t="s">
        <v>26</v>
      </c>
      <c r="D84" s="132" t="s">
        <v>1486</v>
      </c>
      <c r="E84" s="133" t="s">
        <v>1529</v>
      </c>
      <c r="F84" s="60">
        <v>20000</v>
      </c>
      <c r="G84" s="132" t="s">
        <v>1351</v>
      </c>
      <c r="H84" s="61" t="s">
        <v>1367</v>
      </c>
      <c r="I84" s="104" t="s">
        <v>310</v>
      </c>
      <c r="J84" s="140" t="s">
        <v>1530</v>
      </c>
      <c r="K84" s="140" t="s">
        <v>1531</v>
      </c>
      <c r="L84" s="141" t="s">
        <v>1532</v>
      </c>
      <c r="M84" s="140" t="s">
        <v>1533</v>
      </c>
      <c r="N84" s="140" t="s">
        <v>944</v>
      </c>
      <c r="O84" s="102" t="s">
        <v>63</v>
      </c>
      <c r="P84" s="103" t="s">
        <v>1534</v>
      </c>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row>
    <row r="85" s="25" customFormat="1" ht="35" customHeight="1" spans="1:251">
      <c r="A85" s="56">
        <v>78</v>
      </c>
      <c r="B85" s="132" t="s">
        <v>1535</v>
      </c>
      <c r="C85" s="132" t="s">
        <v>26</v>
      </c>
      <c r="D85" s="79" t="s">
        <v>58</v>
      </c>
      <c r="E85" s="133" t="s">
        <v>1536</v>
      </c>
      <c r="F85" s="60">
        <v>20000</v>
      </c>
      <c r="G85" s="132" t="s">
        <v>1351</v>
      </c>
      <c r="H85" s="61" t="s">
        <v>1367</v>
      </c>
      <c r="I85" s="104" t="s">
        <v>310</v>
      </c>
      <c r="J85" s="140" t="s">
        <v>1530</v>
      </c>
      <c r="K85" s="140" t="s">
        <v>1531</v>
      </c>
      <c r="L85" s="141" t="s">
        <v>1532</v>
      </c>
      <c r="M85" s="140" t="s">
        <v>1533</v>
      </c>
      <c r="N85" s="140" t="s">
        <v>55</v>
      </c>
      <c r="O85" s="102"/>
      <c r="P85" s="103"/>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c r="IO85" s="28"/>
      <c r="IP85" s="28"/>
      <c r="IQ85" s="28"/>
    </row>
    <row r="86" s="25" customFormat="1" ht="35" customHeight="1" spans="1:251">
      <c r="A86" s="56">
        <v>79</v>
      </c>
      <c r="B86" s="132" t="s">
        <v>1537</v>
      </c>
      <c r="C86" s="132" t="s">
        <v>26</v>
      </c>
      <c r="D86" s="132" t="s">
        <v>145</v>
      </c>
      <c r="E86" s="133" t="s">
        <v>1538</v>
      </c>
      <c r="F86" s="60">
        <v>6251</v>
      </c>
      <c r="G86" s="132" t="s">
        <v>1315</v>
      </c>
      <c r="H86" s="61" t="s">
        <v>1367</v>
      </c>
      <c r="I86" s="104" t="s">
        <v>310</v>
      </c>
      <c r="J86" s="140" t="s">
        <v>1539</v>
      </c>
      <c r="K86" s="140" t="s">
        <v>1540</v>
      </c>
      <c r="L86" s="140" t="s">
        <v>1541</v>
      </c>
      <c r="M86" s="141" t="s">
        <v>1532</v>
      </c>
      <c r="N86" s="140" t="s">
        <v>944</v>
      </c>
      <c r="O86" s="102" t="s">
        <v>63</v>
      </c>
      <c r="P86" s="103" t="s">
        <v>1542</v>
      </c>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row>
    <row r="87" s="25" customFormat="1" ht="35" customHeight="1" spans="1:257">
      <c r="A87" s="56">
        <v>80</v>
      </c>
      <c r="B87" s="74" t="s">
        <v>1543</v>
      </c>
      <c r="C87" s="74" t="s">
        <v>26</v>
      </c>
      <c r="D87" s="74" t="s">
        <v>58</v>
      </c>
      <c r="E87" s="80" t="s">
        <v>1544</v>
      </c>
      <c r="F87" s="89">
        <v>4000</v>
      </c>
      <c r="G87" s="90" t="s">
        <v>1315</v>
      </c>
      <c r="H87" s="61" t="s">
        <v>1367</v>
      </c>
      <c r="I87" s="104" t="s">
        <v>310</v>
      </c>
      <c r="J87" s="140" t="s">
        <v>1539</v>
      </c>
      <c r="K87" s="140" t="s">
        <v>310</v>
      </c>
      <c r="L87" s="140" t="s">
        <v>1541</v>
      </c>
      <c r="M87" s="141" t="s">
        <v>1532</v>
      </c>
      <c r="N87" s="140" t="s">
        <v>55</v>
      </c>
      <c r="O87" s="102"/>
      <c r="P87" s="142"/>
      <c r="Q87" s="129"/>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c r="HM87" s="28"/>
      <c r="HN87" s="28"/>
      <c r="HO87" s="28"/>
      <c r="HP87" s="28"/>
      <c r="HQ87" s="28"/>
      <c r="HR87" s="28"/>
      <c r="HS87" s="28"/>
      <c r="HT87" s="28"/>
      <c r="HU87" s="28"/>
      <c r="HV87" s="28"/>
      <c r="HW87" s="28"/>
      <c r="HX87" s="28"/>
      <c r="HY87" s="28"/>
      <c r="HZ87" s="28"/>
      <c r="IA87" s="28"/>
      <c r="IB87" s="28"/>
      <c r="IC87" s="28"/>
      <c r="ID87" s="28"/>
      <c r="IE87" s="28"/>
      <c r="IF87" s="28"/>
      <c r="IG87" s="28"/>
      <c r="IH87" s="28"/>
      <c r="II87" s="28"/>
      <c r="IJ87" s="28"/>
      <c r="IK87" s="28"/>
      <c r="IL87" s="28"/>
      <c r="IM87" s="28"/>
      <c r="IN87" s="28"/>
      <c r="IO87" s="28"/>
      <c r="IP87" s="28"/>
      <c r="IQ87" s="28"/>
      <c r="IR87" s="28"/>
      <c r="IS87" s="28"/>
      <c r="IT87" s="28"/>
      <c r="IU87" s="28"/>
      <c r="IV87" s="28"/>
      <c r="IW87" s="28"/>
    </row>
    <row r="88" s="25" customFormat="1" ht="35" customHeight="1" spans="1:251">
      <c r="A88" s="56">
        <v>81</v>
      </c>
      <c r="B88" s="132" t="s">
        <v>1545</v>
      </c>
      <c r="C88" s="132" t="s">
        <v>26</v>
      </c>
      <c r="D88" s="132" t="s">
        <v>145</v>
      </c>
      <c r="E88" s="133" t="s">
        <v>1546</v>
      </c>
      <c r="F88" s="60">
        <v>3000</v>
      </c>
      <c r="G88" s="132" t="s">
        <v>1315</v>
      </c>
      <c r="H88" s="61" t="s">
        <v>1367</v>
      </c>
      <c r="I88" s="104" t="s">
        <v>310</v>
      </c>
      <c r="J88" s="140" t="s">
        <v>1539</v>
      </c>
      <c r="K88" s="140" t="s">
        <v>310</v>
      </c>
      <c r="L88" s="140" t="s">
        <v>1541</v>
      </c>
      <c r="M88" s="141" t="s">
        <v>1532</v>
      </c>
      <c r="N88" s="140" t="s">
        <v>107</v>
      </c>
      <c r="O88" s="102"/>
      <c r="P88" s="103"/>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row>
    <row r="89" s="25" customFormat="1" ht="51" customHeight="1" spans="1:251">
      <c r="A89" s="56">
        <v>82</v>
      </c>
      <c r="B89" s="132" t="s">
        <v>1547</v>
      </c>
      <c r="C89" s="132" t="s">
        <v>26</v>
      </c>
      <c r="D89" s="132" t="s">
        <v>1486</v>
      </c>
      <c r="E89" s="134" t="s">
        <v>1548</v>
      </c>
      <c r="F89" s="60">
        <v>1800</v>
      </c>
      <c r="G89" s="132" t="s">
        <v>1315</v>
      </c>
      <c r="H89" s="61" t="s">
        <v>1367</v>
      </c>
      <c r="I89" s="104" t="s">
        <v>310</v>
      </c>
      <c r="J89" s="140" t="s">
        <v>1539</v>
      </c>
      <c r="K89" s="140" t="s">
        <v>310</v>
      </c>
      <c r="L89" s="140" t="s">
        <v>1541</v>
      </c>
      <c r="M89" s="141" t="s">
        <v>1532</v>
      </c>
      <c r="N89" s="140" t="s">
        <v>95</v>
      </c>
      <c r="O89" s="102"/>
      <c r="P89" s="103"/>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row>
    <row r="90" s="25" customFormat="1" ht="37" customHeight="1" spans="1:251">
      <c r="A90" s="56">
        <v>83</v>
      </c>
      <c r="B90" s="132" t="s">
        <v>1549</v>
      </c>
      <c r="C90" s="132" t="s">
        <v>26</v>
      </c>
      <c r="D90" s="132" t="s">
        <v>140</v>
      </c>
      <c r="E90" s="133" t="s">
        <v>1550</v>
      </c>
      <c r="F90" s="60">
        <v>853.6</v>
      </c>
      <c r="G90" s="132" t="s">
        <v>364</v>
      </c>
      <c r="H90" s="61" t="s">
        <v>1367</v>
      </c>
      <c r="I90" s="104" t="s">
        <v>310</v>
      </c>
      <c r="J90" s="140" t="s">
        <v>310</v>
      </c>
      <c r="K90" s="140" t="s">
        <v>310</v>
      </c>
      <c r="L90" s="140" t="s">
        <v>1541</v>
      </c>
      <c r="M90" s="141" t="s">
        <v>1532</v>
      </c>
      <c r="N90" s="140" t="s">
        <v>55</v>
      </c>
      <c r="O90" s="102"/>
      <c r="P90" s="103"/>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row>
    <row r="91" s="25" customFormat="1" ht="86" customHeight="1" spans="1:251">
      <c r="A91" s="56">
        <v>84</v>
      </c>
      <c r="B91" s="132" t="s">
        <v>1551</v>
      </c>
      <c r="C91" s="132" t="s">
        <v>26</v>
      </c>
      <c r="D91" s="132" t="s">
        <v>140</v>
      </c>
      <c r="E91" s="134" t="s">
        <v>1552</v>
      </c>
      <c r="F91" s="60">
        <v>800</v>
      </c>
      <c r="G91" s="132" t="s">
        <v>1315</v>
      </c>
      <c r="H91" s="61" t="s">
        <v>1367</v>
      </c>
      <c r="I91" s="104" t="s">
        <v>310</v>
      </c>
      <c r="J91" s="140" t="s">
        <v>310</v>
      </c>
      <c r="K91" s="140" t="s">
        <v>310</v>
      </c>
      <c r="L91" s="140" t="s">
        <v>1541</v>
      </c>
      <c r="M91" s="141" t="s">
        <v>1532</v>
      </c>
      <c r="N91" s="140" t="s">
        <v>55</v>
      </c>
      <c r="O91" s="102"/>
      <c r="P91" s="103"/>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c r="IO91" s="28"/>
      <c r="IP91" s="28"/>
      <c r="IQ91" s="28"/>
    </row>
    <row r="92" s="25" customFormat="1" ht="64" customHeight="1" spans="1:257">
      <c r="A92" s="56">
        <v>85</v>
      </c>
      <c r="B92" s="132" t="s">
        <v>1553</v>
      </c>
      <c r="C92" s="132" t="s">
        <v>26</v>
      </c>
      <c r="D92" s="132" t="s">
        <v>1486</v>
      </c>
      <c r="E92" s="133" t="s">
        <v>1554</v>
      </c>
      <c r="F92" s="60">
        <v>600</v>
      </c>
      <c r="G92" s="132" t="s">
        <v>1315</v>
      </c>
      <c r="H92" s="61" t="s">
        <v>1367</v>
      </c>
      <c r="I92" s="104" t="s">
        <v>310</v>
      </c>
      <c r="J92" s="140" t="s">
        <v>310</v>
      </c>
      <c r="K92" s="140" t="s">
        <v>310</v>
      </c>
      <c r="L92" s="140" t="s">
        <v>1541</v>
      </c>
      <c r="M92" s="141" t="s">
        <v>1532</v>
      </c>
      <c r="N92" s="140" t="s">
        <v>95</v>
      </c>
      <c r="O92" s="102"/>
      <c r="P92" s="103"/>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05"/>
      <c r="FM92" s="105"/>
      <c r="FN92" s="105"/>
      <c r="FO92" s="105"/>
      <c r="FP92" s="105"/>
      <c r="FQ92" s="105"/>
      <c r="FR92" s="105"/>
      <c r="FS92" s="105"/>
      <c r="FT92" s="105"/>
      <c r="FU92" s="105"/>
      <c r="FV92" s="105"/>
      <c r="FW92" s="105"/>
      <c r="FX92" s="105"/>
      <c r="FY92" s="105"/>
      <c r="FZ92" s="105"/>
      <c r="GA92" s="105"/>
      <c r="GB92" s="105"/>
      <c r="GC92" s="105"/>
      <c r="GD92" s="105"/>
      <c r="GE92" s="105"/>
      <c r="GF92" s="105"/>
      <c r="GG92" s="105"/>
      <c r="GH92" s="105"/>
      <c r="GI92" s="105"/>
      <c r="GJ92" s="105"/>
      <c r="GK92" s="105"/>
      <c r="GL92" s="105"/>
      <c r="GM92" s="105"/>
      <c r="GN92" s="105"/>
      <c r="GO92" s="105"/>
      <c r="GP92" s="105"/>
      <c r="GQ92" s="105"/>
      <c r="GR92" s="105"/>
      <c r="GS92" s="105"/>
      <c r="GT92" s="105"/>
      <c r="GU92" s="105"/>
      <c r="GV92" s="105"/>
      <c r="GW92" s="105"/>
      <c r="GX92" s="105"/>
      <c r="GY92" s="105"/>
      <c r="GZ92" s="105"/>
      <c r="HA92" s="105"/>
      <c r="HB92" s="105"/>
      <c r="HC92" s="105"/>
      <c r="HD92" s="105"/>
      <c r="HE92" s="105"/>
      <c r="HF92" s="105"/>
      <c r="HG92" s="105"/>
      <c r="HH92" s="105"/>
      <c r="HI92" s="105"/>
      <c r="HJ92" s="105"/>
      <c r="HK92" s="105"/>
      <c r="HL92" s="105"/>
      <c r="HM92" s="105"/>
      <c r="HN92" s="105"/>
      <c r="HO92" s="105"/>
      <c r="HP92" s="105"/>
      <c r="HQ92" s="105"/>
      <c r="HR92" s="105"/>
      <c r="HS92" s="105"/>
      <c r="HT92" s="105"/>
      <c r="HU92" s="105"/>
      <c r="HV92" s="105"/>
      <c r="HW92" s="105"/>
      <c r="HX92" s="105"/>
      <c r="HY92" s="105"/>
      <c r="HZ92" s="105"/>
      <c r="IA92" s="105"/>
      <c r="IB92" s="105"/>
      <c r="IC92" s="105"/>
      <c r="ID92" s="105"/>
      <c r="IE92" s="105"/>
      <c r="IF92" s="105"/>
      <c r="IG92" s="105"/>
      <c r="IH92" s="105"/>
      <c r="II92" s="105"/>
      <c r="IJ92" s="105"/>
      <c r="IK92" s="105"/>
      <c r="IL92" s="105"/>
      <c r="IM92" s="105"/>
      <c r="IN92" s="105"/>
      <c r="IO92" s="105"/>
      <c r="IP92" s="105"/>
      <c r="IQ92" s="105"/>
      <c r="IR92" s="105"/>
      <c r="IS92" s="105"/>
      <c r="IT92" s="105"/>
      <c r="IU92" s="105"/>
      <c r="IV92" s="105"/>
      <c r="IW92" s="105"/>
    </row>
    <row r="93" s="25" customFormat="1" ht="70" customHeight="1" spans="1:251">
      <c r="A93" s="56">
        <v>86</v>
      </c>
      <c r="B93" s="135" t="s">
        <v>1555</v>
      </c>
      <c r="C93" s="132" t="s">
        <v>26</v>
      </c>
      <c r="D93" s="132" t="s">
        <v>145</v>
      </c>
      <c r="E93" s="136" t="s">
        <v>1556</v>
      </c>
      <c r="F93" s="60">
        <v>600</v>
      </c>
      <c r="G93" s="132" t="s">
        <v>1351</v>
      </c>
      <c r="H93" s="61" t="s">
        <v>1367</v>
      </c>
      <c r="I93" s="104" t="s">
        <v>310</v>
      </c>
      <c r="J93" s="140" t="s">
        <v>310</v>
      </c>
      <c r="K93" s="140" t="s">
        <v>310</v>
      </c>
      <c r="L93" s="140" t="s">
        <v>1541</v>
      </c>
      <c r="M93" s="141" t="s">
        <v>1532</v>
      </c>
      <c r="N93" s="140" t="s">
        <v>95</v>
      </c>
      <c r="O93" s="102"/>
      <c r="P93" s="103"/>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row>
    <row r="94" s="25" customFormat="1" ht="47" customHeight="1" spans="1:251">
      <c r="A94" s="56">
        <v>87</v>
      </c>
      <c r="B94" s="132" t="s">
        <v>1557</v>
      </c>
      <c r="C94" s="132" t="s">
        <v>26</v>
      </c>
      <c r="D94" s="132" t="s">
        <v>1558</v>
      </c>
      <c r="E94" s="134" t="s">
        <v>1559</v>
      </c>
      <c r="F94" s="60">
        <v>400</v>
      </c>
      <c r="G94" s="132" t="s">
        <v>1430</v>
      </c>
      <c r="H94" s="61" t="s">
        <v>1367</v>
      </c>
      <c r="I94" s="104" t="s">
        <v>310</v>
      </c>
      <c r="J94" s="140" t="s">
        <v>310</v>
      </c>
      <c r="K94" s="140" t="s">
        <v>310</v>
      </c>
      <c r="L94" s="140" t="s">
        <v>1541</v>
      </c>
      <c r="M94" s="141" t="s">
        <v>1532</v>
      </c>
      <c r="N94" s="140" t="s">
        <v>95</v>
      </c>
      <c r="O94" s="102"/>
      <c r="P94" s="103"/>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c r="IM94" s="28"/>
      <c r="IN94" s="28"/>
      <c r="IO94" s="28"/>
      <c r="IP94" s="28"/>
      <c r="IQ94" s="28"/>
    </row>
    <row r="95" s="25" customFormat="1" ht="51" customHeight="1" spans="1:251">
      <c r="A95" s="56">
        <v>88</v>
      </c>
      <c r="B95" s="132" t="s">
        <v>1560</v>
      </c>
      <c r="C95" s="132" t="s">
        <v>26</v>
      </c>
      <c r="D95" s="132" t="s">
        <v>26</v>
      </c>
      <c r="E95" s="133" t="s">
        <v>1561</v>
      </c>
      <c r="F95" s="60">
        <v>80.2688</v>
      </c>
      <c r="G95" s="132" t="s">
        <v>1430</v>
      </c>
      <c r="H95" s="61" t="s">
        <v>1367</v>
      </c>
      <c r="I95" s="104" t="s">
        <v>310</v>
      </c>
      <c r="J95" s="140" t="s">
        <v>310</v>
      </c>
      <c r="K95" s="140" t="s">
        <v>310</v>
      </c>
      <c r="L95" s="140" t="s">
        <v>1541</v>
      </c>
      <c r="M95" s="141" t="s">
        <v>1532</v>
      </c>
      <c r="N95" s="140" t="s">
        <v>107</v>
      </c>
      <c r="O95" s="102"/>
      <c r="P95" s="103"/>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28"/>
      <c r="HE95" s="28"/>
      <c r="HF95" s="28"/>
      <c r="HG95" s="28"/>
      <c r="HH95" s="28"/>
      <c r="HI95" s="28"/>
      <c r="HJ95" s="28"/>
      <c r="HK95" s="28"/>
      <c r="HL95" s="28"/>
      <c r="HM95" s="28"/>
      <c r="HN95" s="28"/>
      <c r="HO95" s="28"/>
      <c r="HP95" s="28"/>
      <c r="HQ95" s="28"/>
      <c r="HR95" s="28"/>
      <c r="HS95" s="28"/>
      <c r="HT95" s="28"/>
      <c r="HU95" s="28"/>
      <c r="HV95" s="28"/>
      <c r="HW95" s="28"/>
      <c r="HX95" s="28"/>
      <c r="HY95" s="28"/>
      <c r="HZ95" s="28"/>
      <c r="IA95" s="28"/>
      <c r="IB95" s="28"/>
      <c r="IC95" s="28"/>
      <c r="ID95" s="28"/>
      <c r="IE95" s="28"/>
      <c r="IF95" s="28"/>
      <c r="IG95" s="28"/>
      <c r="IH95" s="28"/>
      <c r="II95" s="28"/>
      <c r="IJ95" s="28"/>
      <c r="IK95" s="28"/>
      <c r="IL95" s="28"/>
      <c r="IM95" s="28"/>
      <c r="IN95" s="28"/>
      <c r="IO95" s="28"/>
      <c r="IP95" s="28"/>
      <c r="IQ95" s="28"/>
    </row>
    <row r="96" s="27" customFormat="1" ht="54" customHeight="1" spans="1:257">
      <c r="A96" s="56">
        <v>89</v>
      </c>
      <c r="B96" s="65" t="s">
        <v>1562</v>
      </c>
      <c r="C96" s="65" t="s">
        <v>26</v>
      </c>
      <c r="D96" s="65" t="s">
        <v>1486</v>
      </c>
      <c r="E96" s="69" t="s">
        <v>1563</v>
      </c>
      <c r="F96" s="137">
        <v>100000</v>
      </c>
      <c r="G96" s="65" t="s">
        <v>1351</v>
      </c>
      <c r="H96" s="61" t="s">
        <v>1367</v>
      </c>
      <c r="I96" s="104" t="s">
        <v>310</v>
      </c>
      <c r="J96" s="140" t="s">
        <v>1539</v>
      </c>
      <c r="K96" s="140" t="s">
        <v>1540</v>
      </c>
      <c r="L96" s="140" t="s">
        <v>1541</v>
      </c>
      <c r="M96" s="141" t="s">
        <v>1532</v>
      </c>
      <c r="N96" s="140" t="s">
        <v>107</v>
      </c>
      <c r="O96" s="102"/>
      <c r="P96" s="36"/>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25"/>
      <c r="IS96" s="25"/>
      <c r="IT96" s="25"/>
      <c r="IU96" s="25"/>
      <c r="IV96" s="25"/>
      <c r="IW96" s="25"/>
    </row>
    <row r="97" s="25" customFormat="1" ht="57" customHeight="1" spans="1:251">
      <c r="A97" s="56">
        <v>90</v>
      </c>
      <c r="B97" s="65" t="s">
        <v>1564</v>
      </c>
      <c r="C97" s="65" t="s">
        <v>26</v>
      </c>
      <c r="D97" s="65" t="s">
        <v>1486</v>
      </c>
      <c r="E97" s="69" t="s">
        <v>1565</v>
      </c>
      <c r="F97" s="137">
        <v>70000</v>
      </c>
      <c r="G97" s="65" t="s">
        <v>1566</v>
      </c>
      <c r="H97" s="61" t="s">
        <v>1367</v>
      </c>
      <c r="I97" s="104" t="s">
        <v>310</v>
      </c>
      <c r="J97" s="140" t="s">
        <v>1539</v>
      </c>
      <c r="K97" s="140" t="s">
        <v>1540</v>
      </c>
      <c r="L97" s="140" t="s">
        <v>1541</v>
      </c>
      <c r="M97" s="141" t="s">
        <v>1532</v>
      </c>
      <c r="N97" s="140" t="s">
        <v>95</v>
      </c>
      <c r="O97" s="102"/>
      <c r="P97" s="36"/>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row>
    <row r="98" s="25" customFormat="1" ht="74" customHeight="1" spans="1:251">
      <c r="A98" s="56">
        <v>91</v>
      </c>
      <c r="B98" s="65" t="s">
        <v>1567</v>
      </c>
      <c r="C98" s="65" t="s">
        <v>26</v>
      </c>
      <c r="D98" s="65" t="s">
        <v>1486</v>
      </c>
      <c r="E98" s="69" t="s">
        <v>1568</v>
      </c>
      <c r="F98" s="137">
        <v>50000</v>
      </c>
      <c r="G98" s="65" t="s">
        <v>1351</v>
      </c>
      <c r="H98" s="61" t="s">
        <v>1367</v>
      </c>
      <c r="I98" s="104" t="s">
        <v>310</v>
      </c>
      <c r="J98" s="140" t="s">
        <v>1539</v>
      </c>
      <c r="K98" s="140" t="s">
        <v>1540</v>
      </c>
      <c r="L98" s="140" t="s">
        <v>1541</v>
      </c>
      <c r="M98" s="141" t="s">
        <v>1532</v>
      </c>
      <c r="N98" s="140" t="s">
        <v>95</v>
      </c>
      <c r="O98" s="102"/>
      <c r="P98" s="36"/>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row>
    <row r="99" s="25" customFormat="1" ht="60" customHeight="1" spans="1:251">
      <c r="A99" s="56">
        <v>92</v>
      </c>
      <c r="B99" s="65" t="s">
        <v>1569</v>
      </c>
      <c r="C99" s="65" t="s">
        <v>26</v>
      </c>
      <c r="D99" s="65" t="s">
        <v>1486</v>
      </c>
      <c r="E99" s="69" t="s">
        <v>1570</v>
      </c>
      <c r="F99" s="137">
        <v>45000</v>
      </c>
      <c r="G99" s="65" t="s">
        <v>1351</v>
      </c>
      <c r="H99" s="61" t="s">
        <v>1367</v>
      </c>
      <c r="I99" s="104" t="s">
        <v>310</v>
      </c>
      <c r="J99" s="140" t="s">
        <v>1539</v>
      </c>
      <c r="K99" s="140" t="s">
        <v>1540</v>
      </c>
      <c r="L99" s="140" t="s">
        <v>1541</v>
      </c>
      <c r="M99" s="141" t="s">
        <v>1532</v>
      </c>
      <c r="N99" s="140" t="s">
        <v>95</v>
      </c>
      <c r="O99" s="102"/>
      <c r="P99" s="36"/>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row>
    <row r="100" s="25" customFormat="1" ht="69" customHeight="1" spans="1:251">
      <c r="A100" s="56">
        <v>93</v>
      </c>
      <c r="B100" s="65" t="s">
        <v>1571</v>
      </c>
      <c r="C100" s="65" t="s">
        <v>26</v>
      </c>
      <c r="D100" s="65" t="s">
        <v>1486</v>
      </c>
      <c r="E100" s="69" t="s">
        <v>1572</v>
      </c>
      <c r="F100" s="137">
        <v>30000</v>
      </c>
      <c r="G100" s="65" t="s">
        <v>1351</v>
      </c>
      <c r="H100" s="61" t="s">
        <v>1367</v>
      </c>
      <c r="I100" s="104" t="s">
        <v>310</v>
      </c>
      <c r="J100" s="140" t="s">
        <v>1539</v>
      </c>
      <c r="K100" s="140" t="s">
        <v>1540</v>
      </c>
      <c r="L100" s="140" t="s">
        <v>1541</v>
      </c>
      <c r="M100" s="141" t="s">
        <v>1532</v>
      </c>
      <c r="N100" s="140" t="s">
        <v>944</v>
      </c>
      <c r="O100" s="102"/>
      <c r="P100" s="36"/>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row>
    <row r="101" s="26" customFormat="1" ht="96" customHeight="1" spans="1:257">
      <c r="A101" s="56">
        <v>94</v>
      </c>
      <c r="B101" s="65" t="s">
        <v>1573</v>
      </c>
      <c r="C101" s="65" t="s">
        <v>26</v>
      </c>
      <c r="D101" s="65" t="s">
        <v>1486</v>
      </c>
      <c r="E101" s="69" t="s">
        <v>1574</v>
      </c>
      <c r="F101" s="137">
        <v>20000</v>
      </c>
      <c r="G101" s="65" t="s">
        <v>1351</v>
      </c>
      <c r="H101" s="61" t="s">
        <v>1367</v>
      </c>
      <c r="I101" s="104" t="s">
        <v>310</v>
      </c>
      <c r="J101" s="140" t="s">
        <v>1539</v>
      </c>
      <c r="K101" s="140" t="s">
        <v>1540</v>
      </c>
      <c r="L101" s="140" t="s">
        <v>1541</v>
      </c>
      <c r="M101" s="141" t="s">
        <v>1532</v>
      </c>
      <c r="N101" s="140" t="s">
        <v>944</v>
      </c>
      <c r="O101" s="102"/>
      <c r="P101" s="36"/>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25"/>
      <c r="IS101" s="25"/>
      <c r="IT101" s="25"/>
      <c r="IU101" s="25"/>
      <c r="IV101" s="25"/>
      <c r="IW101" s="25"/>
    </row>
    <row r="102" s="26" customFormat="1" ht="86.4" spans="1:257">
      <c r="A102" s="56">
        <v>95</v>
      </c>
      <c r="B102" s="65" t="s">
        <v>1575</v>
      </c>
      <c r="C102" s="65" t="s">
        <v>26</v>
      </c>
      <c r="D102" s="65" t="s">
        <v>1486</v>
      </c>
      <c r="E102" s="69" t="s">
        <v>1576</v>
      </c>
      <c r="F102" s="137">
        <v>15000</v>
      </c>
      <c r="G102" s="65" t="s">
        <v>1351</v>
      </c>
      <c r="H102" s="61" t="s">
        <v>1367</v>
      </c>
      <c r="I102" s="104" t="s">
        <v>310</v>
      </c>
      <c r="J102" s="140" t="s">
        <v>1539</v>
      </c>
      <c r="K102" s="140" t="s">
        <v>1540</v>
      </c>
      <c r="L102" s="140" t="s">
        <v>1541</v>
      </c>
      <c r="M102" s="141" t="s">
        <v>1532</v>
      </c>
      <c r="N102" s="140" t="s">
        <v>55</v>
      </c>
      <c r="O102" s="102"/>
      <c r="P102" s="36"/>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25"/>
      <c r="IS102" s="25"/>
      <c r="IT102" s="25"/>
      <c r="IU102" s="25"/>
      <c r="IV102" s="25"/>
      <c r="IW102" s="25"/>
    </row>
    <row r="103" s="28" customFormat="1" ht="99" customHeight="1" spans="1:257">
      <c r="A103" s="56">
        <v>96</v>
      </c>
      <c r="B103" s="64" t="s">
        <v>1577</v>
      </c>
      <c r="C103" s="65" t="s">
        <v>27</v>
      </c>
      <c r="D103" s="138" t="s">
        <v>140</v>
      </c>
      <c r="E103" s="59" t="s">
        <v>1578</v>
      </c>
      <c r="F103" s="60">
        <v>3500</v>
      </c>
      <c r="G103" s="64" t="s">
        <v>1179</v>
      </c>
      <c r="H103" s="61" t="s">
        <v>1367</v>
      </c>
      <c r="I103" s="104" t="s">
        <v>310</v>
      </c>
      <c r="J103" s="102">
        <v>45292</v>
      </c>
      <c r="K103" s="104" t="s">
        <v>310</v>
      </c>
      <c r="L103" s="102">
        <v>45444</v>
      </c>
      <c r="M103" s="107">
        <v>45505</v>
      </c>
      <c r="N103" s="108" t="s">
        <v>95</v>
      </c>
      <c r="O103" s="102"/>
      <c r="P103" s="103"/>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5"/>
      <c r="IU103" s="25"/>
      <c r="IV103" s="25"/>
      <c r="IW103" s="25"/>
    </row>
    <row r="104" s="28" customFormat="1" ht="98" customHeight="1" spans="1:257">
      <c r="A104" s="56">
        <v>97</v>
      </c>
      <c r="B104" s="65" t="s">
        <v>1579</v>
      </c>
      <c r="C104" s="65" t="s">
        <v>31</v>
      </c>
      <c r="D104" s="65" t="s">
        <v>1580</v>
      </c>
      <c r="E104" s="69" t="s">
        <v>1581</v>
      </c>
      <c r="F104" s="60">
        <v>1850</v>
      </c>
      <c r="G104" s="72" t="s">
        <v>1315</v>
      </c>
      <c r="H104" s="61" t="s">
        <v>1367</v>
      </c>
      <c r="I104" s="104" t="s">
        <v>310</v>
      </c>
      <c r="J104" s="102">
        <v>44927</v>
      </c>
      <c r="K104" s="104" t="s">
        <v>310</v>
      </c>
      <c r="L104" s="102">
        <v>44986</v>
      </c>
      <c r="M104" s="102">
        <v>45078</v>
      </c>
      <c r="N104" s="102" t="s">
        <v>107</v>
      </c>
      <c r="O104" s="102" t="s">
        <v>63</v>
      </c>
      <c r="P104" s="103"/>
      <c r="IR104" s="25"/>
      <c r="IS104" s="25"/>
      <c r="IT104" s="25"/>
      <c r="IU104" s="25"/>
      <c r="IV104" s="25"/>
      <c r="IW104" s="25"/>
    </row>
    <row r="105" s="28" customFormat="1" ht="67" customHeight="1" spans="1:257">
      <c r="A105" s="56">
        <v>98</v>
      </c>
      <c r="B105" s="65" t="s">
        <v>1582</v>
      </c>
      <c r="C105" s="65" t="s">
        <v>31</v>
      </c>
      <c r="D105" s="65" t="s">
        <v>1580</v>
      </c>
      <c r="E105" s="69" t="s">
        <v>1583</v>
      </c>
      <c r="F105" s="60">
        <v>758.65</v>
      </c>
      <c r="G105" s="72" t="s">
        <v>1315</v>
      </c>
      <c r="H105" s="61" t="s">
        <v>1367</v>
      </c>
      <c r="I105" s="104" t="s">
        <v>310</v>
      </c>
      <c r="J105" s="104" t="s">
        <v>310</v>
      </c>
      <c r="K105" s="104" t="s">
        <v>310</v>
      </c>
      <c r="L105" s="102">
        <v>44986</v>
      </c>
      <c r="M105" s="102">
        <v>45078</v>
      </c>
      <c r="N105" s="102" t="s">
        <v>107</v>
      </c>
      <c r="O105" s="102" t="s">
        <v>63</v>
      </c>
      <c r="P105" s="103"/>
      <c r="IR105" s="25"/>
      <c r="IS105" s="25"/>
      <c r="IT105" s="25"/>
      <c r="IU105" s="25"/>
      <c r="IV105" s="25"/>
      <c r="IW105" s="25"/>
    </row>
    <row r="106" s="21" customFormat="1" ht="86" customHeight="1" spans="1:257">
      <c r="A106" s="56">
        <v>99</v>
      </c>
      <c r="B106" s="65" t="s">
        <v>1584</v>
      </c>
      <c r="C106" s="65" t="s">
        <v>31</v>
      </c>
      <c r="D106" s="65" t="s">
        <v>1580</v>
      </c>
      <c r="E106" s="69" t="s">
        <v>1585</v>
      </c>
      <c r="F106" s="60">
        <v>382.81</v>
      </c>
      <c r="G106" s="72" t="s">
        <v>1315</v>
      </c>
      <c r="H106" s="61" t="s">
        <v>1367</v>
      </c>
      <c r="I106" s="104" t="s">
        <v>310</v>
      </c>
      <c r="J106" s="104" t="s">
        <v>310</v>
      </c>
      <c r="K106" s="104" t="s">
        <v>310</v>
      </c>
      <c r="L106" s="102">
        <v>44986</v>
      </c>
      <c r="M106" s="102">
        <v>45078</v>
      </c>
      <c r="N106" s="102" t="s">
        <v>107</v>
      </c>
      <c r="O106" s="102" t="s">
        <v>63</v>
      </c>
      <c r="P106" s="103"/>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5"/>
      <c r="IS106" s="25"/>
      <c r="IT106" s="25"/>
      <c r="IU106" s="25"/>
      <c r="IV106" s="25"/>
      <c r="IW106" s="25"/>
    </row>
    <row r="107" s="28" customFormat="1" ht="120" customHeight="1" spans="1:257">
      <c r="A107" s="56">
        <v>100</v>
      </c>
      <c r="B107" s="65" t="s">
        <v>1586</v>
      </c>
      <c r="C107" s="65" t="s">
        <v>31</v>
      </c>
      <c r="D107" s="65" t="s">
        <v>1580</v>
      </c>
      <c r="E107" s="69" t="s">
        <v>1587</v>
      </c>
      <c r="F107" s="60">
        <v>197</v>
      </c>
      <c r="G107" s="72" t="s">
        <v>1430</v>
      </c>
      <c r="H107" s="61" t="s">
        <v>1367</v>
      </c>
      <c r="I107" s="104" t="s">
        <v>310</v>
      </c>
      <c r="J107" s="104" t="s">
        <v>310</v>
      </c>
      <c r="K107" s="104" t="s">
        <v>310</v>
      </c>
      <c r="L107" s="102">
        <v>44986</v>
      </c>
      <c r="M107" s="102">
        <v>45078</v>
      </c>
      <c r="N107" s="102" t="s">
        <v>107</v>
      </c>
      <c r="O107" s="102" t="s">
        <v>63</v>
      </c>
      <c r="P107" s="103"/>
      <c r="IR107" s="25"/>
      <c r="IS107" s="25"/>
      <c r="IT107" s="25"/>
      <c r="IU107" s="25"/>
      <c r="IV107" s="25"/>
      <c r="IW107" s="25"/>
    </row>
  </sheetData>
  <autoFilter ref="A5:IW107">
    <extLst/>
  </autoFilter>
  <sortState ref="A70:IW88">
    <sortCondition ref="A70:A88" descending="1" sortBy="cellColor" dxfId="1"/>
  </sortState>
  <mergeCells count="19">
    <mergeCell ref="A1:B1"/>
    <mergeCell ref="A2:O2"/>
    <mergeCell ref="D3:E3"/>
    <mergeCell ref="A7:E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conditionalFormatting sqref="G65">
    <cfRule type="expression" dxfId="0" priority="11" stopIfTrue="1">
      <formula>AND(SUMPRODUCT(IFERROR(1*(($B$7:$B$42&amp;"x")=(G65&amp;"x")),0))&gt;1,NOT(ISBLANK(G65)))</formula>
    </cfRule>
  </conditionalFormatting>
  <conditionalFormatting sqref="E95">
    <cfRule type="expression" dxfId="0" priority="10" stopIfTrue="1">
      <formula>AND(SUMPRODUCT(IFERROR(1*(($B$43:$B$52&amp;"x")=(E95&amp;"x")),0))&gt;1,NOT(ISBLANK(E95)))</formula>
    </cfRule>
  </conditionalFormatting>
  <conditionalFormatting sqref="C101:C102">
    <cfRule type="expression" dxfId="0" priority="7" stopIfTrue="1">
      <formula>AND(SUMPRODUCT(IFERROR(1*(($B$71:$B$101&amp;"x")=(C101&amp;"x")),0))&gt;1,NOT(ISBLANK(C101)))</formula>
    </cfRule>
  </conditionalFormatting>
  <conditionalFormatting sqref="E97:E99">
    <cfRule type="expression" dxfId="0" priority="9" stopIfTrue="1">
      <formula>AND(SUMPRODUCT(IFERROR(1*(($B$7:$B$76&amp;"x")=(E97&amp;"x")),0))&gt;1,NOT(ISBLANK(E97)))</formula>
    </cfRule>
  </conditionalFormatting>
  <conditionalFormatting sqref="E101:E102">
    <cfRule type="expression" dxfId="0" priority="6" stopIfTrue="1">
      <formula>AND(SUMPRODUCT(IFERROR(1*(($B$71:$B$101&amp;"x")=(E101&amp;"x")),0))&gt;1,NOT(ISBLANK(E101)))</formula>
    </cfRule>
  </conditionalFormatting>
  <conditionalFormatting sqref="E54:E63 E66:E94">
    <cfRule type="expression" dxfId="0" priority="12" stopIfTrue="1">
      <formula>AND(SUMPRODUCT(IFERROR(1*(($B$43:$B$52&amp;"x")=(E54&amp;"x")),0))&gt;1,NOT(ISBLANK(E54)))</formula>
    </cfRule>
  </conditionalFormatting>
  <conditionalFormatting sqref="E100 C100">
    <cfRule type="expression" dxfId="0" priority="8" stopIfTrue="1">
      <formula>AND(SUMPRODUCT(IFERROR(1*(($B$71:$B$101&amp;"x")=(C100&amp;"x")),0))&gt;1,NOT(ISBLANK(C100)))</formula>
    </cfRule>
  </conditionalFormatting>
  <printOptions horizontalCentered="1"/>
  <pageMargins left="0.35" right="0.35" top="0.550694444444444" bottom="0.432638888888889" header="0.511805555555556" footer="0.389583333333333"/>
  <pageSetup paperSize="8" scale="102" fitToHeight="0" orientation="landscape" horizontalDpi="600" verticalDpi="600"/>
  <headerFooter alignWithMargins="0">
    <oddFooter>&amp;C&amp;"宋体"&amp;11第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zoomScale="85" zoomScaleNormal="85" workbookViewId="0">
      <selection activeCell="T10" sqref="T10"/>
    </sheetView>
  </sheetViews>
  <sheetFormatPr defaultColWidth="8.88888888888889" defaultRowHeight="14.4"/>
  <cols>
    <col min="1" max="1" width="6.77777777777778" style="7" customWidth="1"/>
    <col min="2" max="2" width="21.3333333333333" style="7" customWidth="1"/>
    <col min="3" max="3" width="9" style="7" customWidth="1"/>
    <col min="4" max="6" width="9" style="8" customWidth="1"/>
    <col min="7" max="7" width="9" style="9" customWidth="1"/>
    <col min="8" max="18" width="9" style="8" customWidth="1"/>
    <col min="19" max="22" width="9.88888888888889" style="7" customWidth="1"/>
    <col min="24" max="24" width="8.88888888888889" style="7"/>
  </cols>
  <sheetData>
    <row r="1" spans="1:22">
      <c r="A1" s="10" t="s">
        <v>3</v>
      </c>
      <c r="B1" s="10" t="s">
        <v>44</v>
      </c>
      <c r="C1" s="11" t="s">
        <v>16</v>
      </c>
      <c r="D1" s="12"/>
      <c r="E1" s="12"/>
      <c r="F1" s="13"/>
      <c r="G1" s="11" t="s">
        <v>17</v>
      </c>
      <c r="H1" s="12"/>
      <c r="I1" s="12"/>
      <c r="J1" s="13"/>
      <c r="K1" s="11" t="s">
        <v>1588</v>
      </c>
      <c r="L1" s="12"/>
      <c r="M1" s="12"/>
      <c r="N1" s="13"/>
      <c r="O1" s="11" t="s">
        <v>19</v>
      </c>
      <c r="P1" s="12"/>
      <c r="Q1" s="12"/>
      <c r="R1" s="13"/>
      <c r="S1" s="10" t="s">
        <v>12</v>
      </c>
      <c r="T1" s="10"/>
      <c r="U1" s="10"/>
      <c r="V1" s="10"/>
    </row>
    <row r="2" s="6" customFormat="1" spans="1:24">
      <c r="A2" s="14"/>
      <c r="B2" s="14"/>
      <c r="C2" s="14" t="s">
        <v>5</v>
      </c>
      <c r="D2" s="15" t="s">
        <v>1158</v>
      </c>
      <c r="E2" s="15" t="s">
        <v>7</v>
      </c>
      <c r="F2" s="15" t="s">
        <v>8</v>
      </c>
      <c r="G2" s="16" t="s">
        <v>5</v>
      </c>
      <c r="H2" s="15" t="s">
        <v>1158</v>
      </c>
      <c r="I2" s="15" t="s">
        <v>7</v>
      </c>
      <c r="J2" s="15" t="s">
        <v>8</v>
      </c>
      <c r="K2" s="14" t="s">
        <v>5</v>
      </c>
      <c r="L2" s="15" t="s">
        <v>1158</v>
      </c>
      <c r="M2" s="15" t="s">
        <v>7</v>
      </c>
      <c r="N2" s="15" t="s">
        <v>8</v>
      </c>
      <c r="O2" s="14" t="s">
        <v>5</v>
      </c>
      <c r="P2" s="15" t="s">
        <v>1158</v>
      </c>
      <c r="Q2" s="15" t="s">
        <v>7</v>
      </c>
      <c r="R2" s="15" t="s">
        <v>8</v>
      </c>
      <c r="S2" s="14" t="s">
        <v>5</v>
      </c>
      <c r="T2" s="14" t="s">
        <v>1158</v>
      </c>
      <c r="U2" s="14" t="s">
        <v>7</v>
      </c>
      <c r="V2" s="14" t="s">
        <v>8</v>
      </c>
      <c r="X2" s="1"/>
    </row>
    <row r="3" s="6" customFormat="1" spans="1:24">
      <c r="A3" s="14">
        <v>1</v>
      </c>
      <c r="B3" s="14" t="s">
        <v>273</v>
      </c>
      <c r="C3" s="14">
        <f>COUNTIF(竣工项目!R:R,B3)</f>
        <v>1</v>
      </c>
      <c r="D3" s="15">
        <f>SUMIF(竣工项目!R:R,B3,竣工项目!F:F)/10000</f>
        <v>0.162208</v>
      </c>
      <c r="E3" s="15">
        <f>SUMIF(竣工项目!R:R,B3,竣工项目!K:K)/10000</f>
        <v>0</v>
      </c>
      <c r="F3" s="15">
        <f>SUMIF(竣工项目!R:R,B3,竣工项目!L:L)/10000</f>
        <v>0.03</v>
      </c>
      <c r="G3" s="16">
        <f>COUNTIF(续建项目!S:S,B3)</f>
        <v>3</v>
      </c>
      <c r="H3" s="15">
        <f>SUMIF(续建项目!S:S,B3,续建项目!F:F)/10000</f>
        <v>12.196358</v>
      </c>
      <c r="I3" s="15">
        <f>SUMIF(续建项目!S:S,B3,续建项目!K:K)/10000</f>
        <v>1.8394</v>
      </c>
      <c r="J3" s="15">
        <f>SUMIF(续建项目!S:S,B3,续建项目!L:L)/10000</f>
        <v>1.56455</v>
      </c>
      <c r="K3" s="16">
        <f>COUNTIF(新建项目!U:U,B3)</f>
        <v>0</v>
      </c>
      <c r="L3" s="15">
        <f>SUMIF(新建项目!U:U,B3,新建项目!F:F)/10000</f>
        <v>0</v>
      </c>
      <c r="M3" s="15">
        <f>SUMIF(新建项目!U:U,B3,新建项目!L:L)/10000</f>
        <v>0</v>
      </c>
      <c r="N3" s="15">
        <f>SUMIF(新建项目!U:U,B3,新建项目!M:M)/10000</f>
        <v>0</v>
      </c>
      <c r="O3" s="16">
        <f>COUNTIF(储备库项目!N:N,B3)</f>
        <v>1</v>
      </c>
      <c r="P3" s="15">
        <f>SUMIF(储备库项目!N:N,B3,储备库项目!F:F)/10000</f>
        <v>0.095</v>
      </c>
      <c r="Q3" s="15">
        <v>0</v>
      </c>
      <c r="R3" s="15">
        <v>0.5</v>
      </c>
      <c r="S3" s="14">
        <f>C3+G3+K3+O3</f>
        <v>5</v>
      </c>
      <c r="T3" s="15">
        <f>D3+H3+L3+P3</f>
        <v>12.453566</v>
      </c>
      <c r="U3" s="15">
        <f>E3+I3+M3+Q3</f>
        <v>1.8394</v>
      </c>
      <c r="V3" s="15">
        <f>F3+J3+N3+R3</f>
        <v>2.09455</v>
      </c>
      <c r="W3" s="19">
        <f>U3/$U$12</f>
        <v>0.0603383077828533</v>
      </c>
      <c r="X3" s="20">
        <f>V3/$V$12</f>
        <v>0.0518493437481612</v>
      </c>
    </row>
    <row r="4" s="6" customFormat="1" spans="1:24">
      <c r="A4" s="14">
        <v>2</v>
      </c>
      <c r="B4" s="14" t="s">
        <v>55</v>
      </c>
      <c r="C4" s="14">
        <f>COUNTIF(竣工项目!R:R,B4)</f>
        <v>18</v>
      </c>
      <c r="D4" s="15">
        <f>SUMIF(竣工项目!R:R,B4,竣工项目!F:F)/10000</f>
        <v>18.813866</v>
      </c>
      <c r="E4" s="15">
        <f>SUMIF(竣工项目!R:R,B4,竣工项目!K:K)/10000</f>
        <v>0</v>
      </c>
      <c r="F4" s="15">
        <f>SUMIF(竣工项目!R:R,B4,竣工项目!L:L)/10000</f>
        <v>2.465259</v>
      </c>
      <c r="G4" s="16">
        <f>COUNTIF(续建项目!S:S,B4)</f>
        <v>4</v>
      </c>
      <c r="H4" s="15">
        <f>SUMIF(续建项目!S:S,B4,续建项目!F:F)/10000</f>
        <v>4.937283</v>
      </c>
      <c r="I4" s="15">
        <f>SUMIF(续建项目!S:S,B4,续建项目!K:K)/10000</f>
        <v>0.9561</v>
      </c>
      <c r="J4" s="15">
        <f>SUMIF(续建项目!S:S,B4,续建项目!L:L)/10000</f>
        <v>1.16</v>
      </c>
      <c r="K4" s="16">
        <f>COUNTIF(新建项目!U:U,B4)</f>
        <v>5</v>
      </c>
      <c r="L4" s="15">
        <f>SUMIF(新建项目!U:U,B4,新建项目!F:F)/10000</f>
        <v>4.360082</v>
      </c>
      <c r="M4" s="15">
        <f>SUMIF(新建项目!U:U,B4,新建项目!L:L)/10000</f>
        <v>2.86049811764706</v>
      </c>
      <c r="N4" s="15">
        <f>SUMIF(新建项目!U:U,B4,新建项目!M:M)/10000</f>
        <v>2.313</v>
      </c>
      <c r="O4" s="16">
        <f>COUNTIF(储备库项目!N:N,B4)</f>
        <v>5</v>
      </c>
      <c r="P4" s="15">
        <f>SUMIF(储备库项目!N:N,B4,储备库项目!F:F)/10000</f>
        <v>4.06536</v>
      </c>
      <c r="Q4" s="15">
        <v>0</v>
      </c>
      <c r="R4" s="15">
        <v>0</v>
      </c>
      <c r="S4" s="14">
        <f t="shared" ref="S4:S11" si="0">C4+G4+K4+O4</f>
        <v>32</v>
      </c>
      <c r="T4" s="15">
        <f t="shared" ref="T4:T11" si="1">D4+H4+L4+P4</f>
        <v>32.176591</v>
      </c>
      <c r="U4" s="15">
        <f t="shared" ref="U4:U11" si="2">E4+I4+M4+Q4</f>
        <v>3.81659811764706</v>
      </c>
      <c r="V4" s="15">
        <f t="shared" ref="V4:V10" si="3">F4+J4+N4+R4</f>
        <v>5.938259</v>
      </c>
      <c r="W4" s="19">
        <f t="shared" ref="W4:W11" si="4">U4/$U$12</f>
        <v>0.125196842397546</v>
      </c>
      <c r="X4" s="20">
        <f t="shared" ref="X4:X11" si="5">V4/$V$12</f>
        <v>0.146998081762962</v>
      </c>
    </row>
    <row r="5" s="6" customFormat="1" spans="1:24">
      <c r="A5" s="14">
        <v>3</v>
      </c>
      <c r="B5" s="14" t="s">
        <v>944</v>
      </c>
      <c r="C5" s="14">
        <f>COUNTIF(竣工项目!R:R,B5)</f>
        <v>3</v>
      </c>
      <c r="D5" s="15">
        <f>SUMIF(竣工项目!R:R,B5,竣工项目!F:F)/10000</f>
        <v>0.643722</v>
      </c>
      <c r="E5" s="15">
        <f>SUMIF(竣工项目!R:R,B5,竣工项目!K:K)/10000</f>
        <v>0</v>
      </c>
      <c r="F5" s="15">
        <f>SUMIF(竣工项目!R:R,B5,竣工项目!L:L)/10000</f>
        <v>0.1246</v>
      </c>
      <c r="G5" s="16">
        <f>COUNTIF(续建项目!S:S,B5)</f>
        <v>2</v>
      </c>
      <c r="H5" s="15">
        <f>SUMIF(续建项目!S:S,B5,续建项目!F:F)/10000</f>
        <v>18.057912</v>
      </c>
      <c r="I5" s="15">
        <f>SUMIF(续建项目!S:S,B5,续建项目!K:K)/10000</f>
        <v>7.00634764705882</v>
      </c>
      <c r="J5" s="15">
        <f>SUMIF(续建项目!S:S,B5,续建项目!L:L)/10000</f>
        <v>5.96263</v>
      </c>
      <c r="K5" s="16">
        <f>COUNTIF(新建项目!U:U,B5)</f>
        <v>0</v>
      </c>
      <c r="L5" s="15">
        <f>SUMIF(新建项目!U:U,B5,新建项目!F:F)/10000</f>
        <v>0</v>
      </c>
      <c r="M5" s="15">
        <f>SUMIF(新建项目!U:U,B5,新建项目!L:L)/10000</f>
        <v>0</v>
      </c>
      <c r="N5" s="15">
        <f>SUMIF(新建项目!U:U,B5,新建项目!M:M)/10000</f>
        <v>0</v>
      </c>
      <c r="O5" s="16">
        <f>COUNTIF(储备库项目!N:N,B5)</f>
        <v>4</v>
      </c>
      <c r="P5" s="15">
        <f>SUMIF(储备库项目!N:N,B5,储备库项目!F:F)/10000</f>
        <v>7.6251</v>
      </c>
      <c r="Q5" s="15">
        <v>0</v>
      </c>
      <c r="R5" s="15">
        <v>0</v>
      </c>
      <c r="S5" s="14">
        <f t="shared" si="0"/>
        <v>9</v>
      </c>
      <c r="T5" s="15">
        <f t="shared" si="1"/>
        <v>26.326734</v>
      </c>
      <c r="U5" s="15">
        <f t="shared" si="2"/>
        <v>7.00634764705882</v>
      </c>
      <c r="V5" s="15">
        <f t="shared" si="3"/>
        <v>6.08723</v>
      </c>
      <c r="W5" s="19">
        <f t="shared" si="4"/>
        <v>0.229831010526207</v>
      </c>
      <c r="X5" s="20">
        <f t="shared" si="5"/>
        <v>0.150685770568437</v>
      </c>
    </row>
    <row r="6" s="6" customFormat="1" spans="1:24">
      <c r="A6" s="14">
        <v>4</v>
      </c>
      <c r="B6" s="14" t="s">
        <v>88</v>
      </c>
      <c r="C6" s="14">
        <f>COUNTIF(竣工项目!R:R,B6)</f>
        <v>23</v>
      </c>
      <c r="D6" s="15">
        <f>SUMIF(竣工项目!R:R,B6,竣工项目!F:F)/10000</f>
        <v>7.9356047306</v>
      </c>
      <c r="E6" s="15">
        <f>SUMIF(竣工项目!R:R,B6,竣工项目!K:K)/10000</f>
        <v>0</v>
      </c>
      <c r="F6" s="15">
        <f>SUMIF(竣工项目!R:R,B6,竣工项目!L:L)/10000</f>
        <v>0.996325</v>
      </c>
      <c r="G6" s="16">
        <f>COUNTIF(续建项目!S:S,B6)</f>
        <v>0</v>
      </c>
      <c r="H6" s="15">
        <f>SUMIF(续建项目!S:S,B6,续建项目!F:F)/10000</f>
        <v>0</v>
      </c>
      <c r="I6" s="15">
        <f>SUMIF(续建项目!S:S,B6,续建项目!K:K)/10000</f>
        <v>0</v>
      </c>
      <c r="J6" s="15">
        <f>SUMIF(续建项目!S:S,B6,续建项目!L:L)/10000</f>
        <v>0</v>
      </c>
      <c r="K6" s="16">
        <f>COUNTIF(新建项目!U:U,B6)</f>
        <v>0</v>
      </c>
      <c r="L6" s="15">
        <f>SUMIF(新建项目!U:U,B6,新建项目!F:F)/10000</f>
        <v>0</v>
      </c>
      <c r="M6" s="15">
        <f>SUMIF(新建项目!U:U,B6,新建项目!L:L)/10000</f>
        <v>0</v>
      </c>
      <c r="N6" s="15">
        <f>SUMIF(新建项目!U:U,B6,新建项目!M:M)/10000</f>
        <v>0</v>
      </c>
      <c r="O6" s="16">
        <f>COUNTIF(储备库项目!N:N,B6)</f>
        <v>2</v>
      </c>
      <c r="P6" s="15">
        <f>SUMIF(储备库项目!N:N,B6,储备库项目!F:F)/10000</f>
        <v>0.8913</v>
      </c>
      <c r="Q6" s="15">
        <v>0</v>
      </c>
      <c r="R6" s="15">
        <v>0</v>
      </c>
      <c r="S6" s="14">
        <f t="shared" si="0"/>
        <v>25</v>
      </c>
      <c r="T6" s="15">
        <f t="shared" si="1"/>
        <v>8.8269047306</v>
      </c>
      <c r="U6" s="15">
        <f t="shared" si="2"/>
        <v>0</v>
      </c>
      <c r="V6" s="15">
        <f t="shared" si="3"/>
        <v>0.996325</v>
      </c>
      <c r="W6" s="19">
        <f t="shared" si="4"/>
        <v>0</v>
      </c>
      <c r="X6" s="20">
        <f t="shared" si="5"/>
        <v>0.0246634348236551</v>
      </c>
    </row>
    <row r="7" s="6" customFormat="1" spans="1:24">
      <c r="A7" s="14">
        <v>5</v>
      </c>
      <c r="B7" s="14" t="s">
        <v>95</v>
      </c>
      <c r="C7" s="14">
        <f>COUNTIF(竣工项目!R:R,B7)</f>
        <v>15</v>
      </c>
      <c r="D7" s="15">
        <f>SUMIF(竣工项目!R:R,B7,竣工项目!F:F)/10000</f>
        <v>2.176489</v>
      </c>
      <c r="E7" s="15">
        <f>SUMIF(竣工项目!R:R,B7,竣工项目!K:K)/10000</f>
        <v>0</v>
      </c>
      <c r="F7" s="15">
        <f>SUMIF(竣工项目!R:R,B7,竣工项目!L:L)/10000</f>
        <v>0.367423</v>
      </c>
      <c r="G7" s="16">
        <f>COUNTIF(续建项目!S:S,B7)</f>
        <v>3</v>
      </c>
      <c r="H7" s="15">
        <f>SUMIF(续建项目!S:S,B7,续建项目!F:F)/10000</f>
        <v>0.168528</v>
      </c>
      <c r="I7" s="15">
        <f>SUMIF(续建项目!S:S,B7,续建项目!K:K)/10000</f>
        <v>0.11021</v>
      </c>
      <c r="J7" s="15">
        <f>SUMIF(续建项目!S:S,B7,续建项目!L:L)/10000</f>
        <v>0.0935</v>
      </c>
      <c r="K7" s="16">
        <f>COUNTIF(新建项目!U:U,B7)</f>
        <v>1</v>
      </c>
      <c r="L7" s="15">
        <f>SUMIF(新建项目!U:U,B7,新建项目!F:F)/10000</f>
        <v>3.099632</v>
      </c>
      <c r="M7" s="15">
        <f>SUMIF(新建项目!U:U,B7,新建项目!L:L)/10000</f>
        <v>2</v>
      </c>
      <c r="N7" s="15">
        <f>SUMIF(新建项目!U:U,B7,新建项目!M:M)/10000</f>
        <v>1.8</v>
      </c>
      <c r="O7" s="16">
        <f>COUNTIF(储备库项目!N:N,B7)</f>
        <v>9</v>
      </c>
      <c r="P7" s="15">
        <f>SUMIF(储备库项目!N:N,B7,储备库项目!F:F)/10000</f>
        <v>17.618474</v>
      </c>
      <c r="Q7" s="15">
        <v>0</v>
      </c>
      <c r="R7" s="15">
        <v>0</v>
      </c>
      <c r="S7" s="14">
        <f t="shared" si="0"/>
        <v>28</v>
      </c>
      <c r="T7" s="15">
        <f t="shared" si="1"/>
        <v>23.063123</v>
      </c>
      <c r="U7" s="15">
        <f t="shared" si="2"/>
        <v>2.11021</v>
      </c>
      <c r="V7" s="15">
        <f t="shared" si="3"/>
        <v>2.260923</v>
      </c>
      <c r="W7" s="19">
        <f t="shared" si="4"/>
        <v>0.0692217573482956</v>
      </c>
      <c r="X7" s="20">
        <f t="shared" si="5"/>
        <v>0.0559678087489551</v>
      </c>
    </row>
    <row r="8" s="6" customFormat="1" spans="1:24">
      <c r="A8" s="14">
        <v>6</v>
      </c>
      <c r="B8" s="14" t="s">
        <v>378</v>
      </c>
      <c r="C8" s="14">
        <f>COUNTIF(竣工项目!R:R,B8)</f>
        <v>9</v>
      </c>
      <c r="D8" s="15">
        <f>SUMIF(竣工项目!R:R,B8,竣工项目!F:F)/10000</f>
        <v>2.482865</v>
      </c>
      <c r="E8" s="15">
        <f>SUMIF(竣工项目!R:R,B8,竣工项目!K:K)/10000</f>
        <v>0</v>
      </c>
      <c r="F8" s="15">
        <f>SUMIF(竣工项目!R:R,B8,竣工项目!L:L)/10000</f>
        <v>0.408773</v>
      </c>
      <c r="G8" s="16">
        <f>COUNTIF(续建项目!S:S,B8)</f>
        <v>0</v>
      </c>
      <c r="H8" s="15">
        <f>SUMIF(续建项目!S:S,B8,续建项目!F:F)/10000</f>
        <v>0</v>
      </c>
      <c r="I8" s="15">
        <f>SUMIF(续建项目!S:S,B8,续建项目!K:K)/10000</f>
        <v>0</v>
      </c>
      <c r="J8" s="15">
        <f>SUMIF(续建项目!S:S,B8,续建项目!L:L)/10000</f>
        <v>0</v>
      </c>
      <c r="K8" s="16">
        <f>COUNTIF(新建项目!U:U,B8)</f>
        <v>0</v>
      </c>
      <c r="L8" s="15">
        <f>SUMIF(新建项目!U:U,B8,新建项目!F:F)/10000</f>
        <v>0</v>
      </c>
      <c r="M8" s="15">
        <f>SUMIF(新建项目!U:U,B8,新建项目!L:L)/10000</f>
        <v>0</v>
      </c>
      <c r="N8" s="15">
        <f>SUMIF(新建项目!U:U,B8,新建项目!M:M)/10000</f>
        <v>0</v>
      </c>
      <c r="O8" s="16">
        <f>COUNTIF(储备库项目!N:N,B8)</f>
        <v>0</v>
      </c>
      <c r="P8" s="15">
        <f>SUMIF(储备库项目!N:N,B8,储备库项目!F:F)/10000</f>
        <v>0</v>
      </c>
      <c r="Q8" s="15">
        <v>0</v>
      </c>
      <c r="R8" s="15">
        <v>0</v>
      </c>
      <c r="S8" s="14">
        <f t="shared" si="0"/>
        <v>9</v>
      </c>
      <c r="T8" s="15">
        <f t="shared" si="1"/>
        <v>2.482865</v>
      </c>
      <c r="U8" s="15">
        <f t="shared" si="2"/>
        <v>0</v>
      </c>
      <c r="V8" s="15">
        <f t="shared" si="3"/>
        <v>0.408773</v>
      </c>
      <c r="W8" s="19">
        <f t="shared" si="4"/>
        <v>0</v>
      </c>
      <c r="X8" s="20">
        <f t="shared" si="5"/>
        <v>0.0101189333231325</v>
      </c>
    </row>
    <row r="9" s="6" customFormat="1" spans="1:24">
      <c r="A9" s="14">
        <v>7</v>
      </c>
      <c r="B9" s="14" t="s">
        <v>62</v>
      </c>
      <c r="C9" s="14">
        <f>COUNTIF(竣工项目!R:R,B9)</f>
        <v>98</v>
      </c>
      <c r="D9" s="15">
        <f>SUMIF(竣工项目!R:R,B9,竣工项目!F:F)/10000</f>
        <v>39.0231378444</v>
      </c>
      <c r="E9" s="15">
        <f>SUMIF(竣工项目!R:R,B9,竣工项目!K:K)/10000</f>
        <v>0</v>
      </c>
      <c r="F9" s="15">
        <f>SUMIF(竣工项目!R:R,B9,竣工项目!L:L)/10000</f>
        <v>4.6927098694</v>
      </c>
      <c r="G9" s="16">
        <f>COUNTIF(续建项目!S:S,B9)</f>
        <v>22</v>
      </c>
      <c r="H9" s="15">
        <f>SUMIF(续建项目!S:S,B9,续建项目!F:F)/10000</f>
        <v>57.722597</v>
      </c>
      <c r="I9" s="15">
        <f>SUMIF(续建项目!S:S,B9,续建项目!K:K)/10000</f>
        <v>10.4467</v>
      </c>
      <c r="J9" s="15">
        <f>SUMIF(续建项目!S:S,B9,续建项目!L:L)/10000</f>
        <v>11.2172495425</v>
      </c>
      <c r="K9" s="16">
        <f>COUNTIF(新建项目!U:U,B9)</f>
        <v>11</v>
      </c>
      <c r="L9" s="15">
        <f>SUMIF(新建项目!U:U,B9,新建项目!F:F)/10000</f>
        <v>6.881436</v>
      </c>
      <c r="M9" s="15">
        <f>SUMIF(新建项目!U:U,B9,新建项目!L:L)/10000</f>
        <v>3.900097</v>
      </c>
      <c r="N9" s="15">
        <f>SUMIF(新建项目!U:U,B9,新建项目!M:M)/10000</f>
        <v>3.129182</v>
      </c>
      <c r="O9" s="16">
        <f>COUNTIF(储备库项目!N:N,B9)</f>
        <v>42</v>
      </c>
      <c r="P9" s="15">
        <f>SUMIF(储备库项目!N:N,B9,储备库项目!F:F)/10000</f>
        <v>57.245745</v>
      </c>
      <c r="Q9" s="15">
        <v>0</v>
      </c>
      <c r="R9" s="15">
        <v>0</v>
      </c>
      <c r="S9" s="14">
        <f t="shared" si="0"/>
        <v>173</v>
      </c>
      <c r="T9" s="15">
        <f t="shared" si="1"/>
        <v>160.8729158444</v>
      </c>
      <c r="U9" s="15">
        <f t="shared" si="2"/>
        <v>14.346797</v>
      </c>
      <c r="V9" s="15">
        <f t="shared" si="3"/>
        <v>19.0391414119</v>
      </c>
      <c r="W9" s="19">
        <f t="shared" si="4"/>
        <v>0.470621644603739</v>
      </c>
      <c r="X9" s="20">
        <f t="shared" si="5"/>
        <v>0.47130266058841</v>
      </c>
    </row>
    <row r="10" s="6" customFormat="1" spans="1:24">
      <c r="A10" s="14">
        <v>8</v>
      </c>
      <c r="B10" s="14" t="s">
        <v>107</v>
      </c>
      <c r="C10" s="14">
        <f>COUNTIF(竣工项目!R:R,B10)</f>
        <v>96</v>
      </c>
      <c r="D10" s="15">
        <f>SUMIF(竣工项目!R:R,B10,竣工项目!F:F)/10000</f>
        <v>15.6901562964</v>
      </c>
      <c r="E10" s="15">
        <f>SUMIF(竣工项目!R:R,B10,竣工项目!K:K)/10000</f>
        <v>0</v>
      </c>
      <c r="F10" s="15">
        <f>SUMIF(竣工项目!R:R,B10,竣工项目!L:L)/10000</f>
        <v>2.3532184638</v>
      </c>
      <c r="G10" s="16">
        <f>COUNTIF(续建项目!S:S,B10)</f>
        <v>2</v>
      </c>
      <c r="H10" s="15">
        <f>SUMIF(续建项目!S:S,B10,续建项目!F:F)/10000</f>
        <v>0.30392</v>
      </c>
      <c r="I10" s="15">
        <f>SUMIF(续建项目!S:S,B10,续建项目!K:K)/10000</f>
        <v>0.1654266</v>
      </c>
      <c r="J10" s="15">
        <f>SUMIF(续建项目!S:S,B10,续建项目!L:L)/10000</f>
        <v>0.140427</v>
      </c>
      <c r="K10" s="16">
        <f>COUNTIF(新建项目!U:U,B10)</f>
        <v>1</v>
      </c>
      <c r="L10" s="15">
        <f>SUMIF(新建项目!U:U,B10,新建项目!F:F)/10000</f>
        <v>1.784836</v>
      </c>
      <c r="M10" s="15">
        <f>SUMIF(新建项目!U:U,B10,新建项目!L:L)/10000</f>
        <v>1.05</v>
      </c>
      <c r="N10" s="15">
        <f>SUMIF(新建项目!U:U,B10,新建项目!M:M)/10000</f>
        <v>0.99</v>
      </c>
      <c r="O10" s="16">
        <f>COUNTIF(储备库项目!N:N,B10)</f>
        <v>17</v>
      </c>
      <c r="P10" s="15">
        <f>SUMIF(储备库项目!N:N,B10,储备库项目!F:F)/10000</f>
        <v>17.69729388</v>
      </c>
      <c r="Q10" s="15">
        <v>0</v>
      </c>
      <c r="R10" s="15">
        <v>0</v>
      </c>
      <c r="S10" s="14">
        <f t="shared" si="0"/>
        <v>116</v>
      </c>
      <c r="T10" s="15">
        <f t="shared" si="1"/>
        <v>35.4762061764</v>
      </c>
      <c r="U10" s="15">
        <f t="shared" si="2"/>
        <v>1.2154266</v>
      </c>
      <c r="V10" s="15">
        <f t="shared" si="3"/>
        <v>3.4836454638</v>
      </c>
      <c r="W10" s="19">
        <f t="shared" si="4"/>
        <v>0.0398699490476606</v>
      </c>
      <c r="X10" s="20">
        <f t="shared" si="5"/>
        <v>0.086235578596495</v>
      </c>
    </row>
    <row r="11" s="6" customFormat="1" spans="1:24">
      <c r="A11" s="14">
        <v>9</v>
      </c>
      <c r="B11" s="14" t="s">
        <v>20</v>
      </c>
      <c r="C11" s="14">
        <f>COUNTIF(竣工项目!R:R,B11)</f>
        <v>0</v>
      </c>
      <c r="D11" s="15">
        <v>0</v>
      </c>
      <c r="E11" s="15">
        <f>SUMIF(竣工项目!R:R,B11,竣工项目!K:K)/10000</f>
        <v>0</v>
      </c>
      <c r="F11" s="15">
        <f>SUMIF(竣工项目!R:R,B11,竣工项目!L:L)/10000</f>
        <v>0</v>
      </c>
      <c r="G11" s="16">
        <f>COUNTIF(续建项目!S:S,B11)</f>
        <v>0</v>
      </c>
      <c r="H11" s="15">
        <f>SUMIF(续建项目!S:S,B11,续建项目!F:F)/10000</f>
        <v>0</v>
      </c>
      <c r="I11" s="15">
        <f>SUMIF(续建项目!S:S,B11,续建项目!K:K)/10000</f>
        <v>0</v>
      </c>
      <c r="J11" s="15">
        <f>SUMIF(续建项目!S:S,B11,续建项目!L:L)/10000</f>
        <v>0</v>
      </c>
      <c r="K11" s="16">
        <f>COUNTIF(新建项目!U:U,B11)</f>
        <v>0</v>
      </c>
      <c r="L11" s="15">
        <f>SUMIF(新建项目!U:U,B11,新建项目!F:F)/10000</f>
        <v>0</v>
      </c>
      <c r="M11" s="15">
        <f>SUMIF(新建项目!U:U,B11,新建项目!L:L)/10000</f>
        <v>0</v>
      </c>
      <c r="N11" s="15">
        <f>SUMIF(新建项目!U:U,B11,新建项目!M:M)/10000</f>
        <v>0</v>
      </c>
      <c r="O11" s="16">
        <f>COUNTIF(储备库项目!N:N,B11)</f>
        <v>0</v>
      </c>
      <c r="P11" s="15">
        <f>SUMIF(储备库项目!N:N,B11,储备库项目!F:F)/10000</f>
        <v>0</v>
      </c>
      <c r="Q11" s="15">
        <v>0</v>
      </c>
      <c r="R11" s="15">
        <v>0</v>
      </c>
      <c r="S11" s="14">
        <v>125</v>
      </c>
      <c r="T11" s="15">
        <f>17710/10000</f>
        <v>1.771</v>
      </c>
      <c r="U11" s="15">
        <v>0.15</v>
      </c>
      <c r="V11" s="15">
        <f>880/10000</f>
        <v>0.088</v>
      </c>
      <c r="W11" s="19">
        <f t="shared" si="4"/>
        <v>0.00492048829369795</v>
      </c>
      <c r="X11" s="20">
        <f t="shared" si="5"/>
        <v>0.00217838783979288</v>
      </c>
    </row>
    <row r="12" s="6" customFormat="1" spans="1:24">
      <c r="A12" s="14"/>
      <c r="B12" s="14" t="s">
        <v>12</v>
      </c>
      <c r="C12" s="14">
        <f t="shared" ref="C12:G12" si="6">SUM(C3:C11)</f>
        <v>263</v>
      </c>
      <c r="D12" s="15">
        <f t="shared" si="6"/>
        <v>86.9280488714</v>
      </c>
      <c r="E12" s="15">
        <f t="shared" si="6"/>
        <v>0</v>
      </c>
      <c r="F12" s="15">
        <f t="shared" si="6"/>
        <v>11.4383083332</v>
      </c>
      <c r="G12" s="14">
        <f t="shared" si="6"/>
        <v>36</v>
      </c>
      <c r="H12" s="15">
        <f t="shared" ref="H12:K12" si="7">SUM(H3:H11)</f>
        <v>93.386598</v>
      </c>
      <c r="I12" s="15">
        <f t="shared" si="7"/>
        <v>20.5241842470588</v>
      </c>
      <c r="J12" s="15">
        <f t="shared" si="7"/>
        <v>20.1383565425</v>
      </c>
      <c r="K12" s="14">
        <f t="shared" si="7"/>
        <v>18</v>
      </c>
      <c r="L12" s="15">
        <f t="shared" ref="L12:O12" si="8">SUM(L3:L11)</f>
        <v>16.125986</v>
      </c>
      <c r="M12" s="15">
        <f t="shared" si="8"/>
        <v>9.81059511764706</v>
      </c>
      <c r="N12" s="15">
        <f t="shared" si="8"/>
        <v>8.232182</v>
      </c>
      <c r="O12" s="14">
        <f t="shared" si="8"/>
        <v>80</v>
      </c>
      <c r="P12" s="15">
        <f t="shared" ref="P12:V12" si="9">SUM(P3:P11)</f>
        <v>105.23827288</v>
      </c>
      <c r="Q12" s="15">
        <f t="shared" si="9"/>
        <v>0</v>
      </c>
      <c r="R12" s="15">
        <f t="shared" si="9"/>
        <v>0.5</v>
      </c>
      <c r="S12" s="14">
        <f t="shared" si="9"/>
        <v>522</v>
      </c>
      <c r="T12" s="15">
        <f t="shared" si="9"/>
        <v>303.4499057514</v>
      </c>
      <c r="U12" s="15">
        <f t="shared" si="9"/>
        <v>30.4847793647059</v>
      </c>
      <c r="V12" s="15">
        <f t="shared" si="9"/>
        <v>40.3968468757</v>
      </c>
      <c r="X12" s="1"/>
    </row>
    <row r="13" s="6" customFormat="1" spans="1:24">
      <c r="A13" s="1"/>
      <c r="B13" s="1"/>
      <c r="C13" s="1"/>
      <c r="D13" s="3"/>
      <c r="E13" s="3"/>
      <c r="F13" s="3"/>
      <c r="G13" s="17"/>
      <c r="H13" s="3"/>
      <c r="I13" s="3"/>
      <c r="J13" s="3"/>
      <c r="K13" s="3"/>
      <c r="L13" s="3"/>
      <c r="M13" s="3"/>
      <c r="N13" s="3"/>
      <c r="O13" s="3"/>
      <c r="P13" s="3"/>
      <c r="Q13" s="3"/>
      <c r="R13" s="3"/>
      <c r="S13" s="1"/>
      <c r="T13" s="1"/>
      <c r="U13" s="1"/>
      <c r="V13" s="1"/>
      <c r="X13" s="1"/>
    </row>
    <row r="14" s="6" customFormat="1" spans="1:24">
      <c r="A14" s="1"/>
      <c r="B14" s="1"/>
      <c r="C14" s="1"/>
      <c r="D14" s="3"/>
      <c r="E14" s="3"/>
      <c r="F14" s="3"/>
      <c r="G14" s="17"/>
      <c r="H14" s="3"/>
      <c r="I14" s="3"/>
      <c r="J14" s="3"/>
      <c r="K14" s="3"/>
      <c r="L14" s="3"/>
      <c r="M14" s="3"/>
      <c r="N14" s="3"/>
      <c r="O14" s="3"/>
      <c r="P14" s="3"/>
      <c r="Q14" s="3"/>
      <c r="R14" s="3"/>
      <c r="S14" s="1"/>
      <c r="T14" s="1"/>
      <c r="U14" s="1"/>
      <c r="V14" s="1"/>
      <c r="X14" s="1"/>
    </row>
    <row r="26" spans="14:14">
      <c r="N26" s="18">
        <f>32.427/10000</f>
        <v>0.0032427</v>
      </c>
    </row>
  </sheetData>
  <autoFilter ref="A2:X12">
    <extLst/>
  </autoFilter>
  <mergeCells count="5">
    <mergeCell ref="C1:F1"/>
    <mergeCell ref="G1:J1"/>
    <mergeCell ref="K1:N1"/>
    <mergeCell ref="O1:R1"/>
    <mergeCell ref="S1:V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N125"/>
  <sheetViews>
    <sheetView topLeftCell="A67" workbookViewId="0">
      <selection activeCell="D131" sqref="D131"/>
    </sheetView>
  </sheetViews>
  <sheetFormatPr defaultColWidth="8.88888888888889" defaultRowHeight="14.4"/>
  <cols>
    <col min="1" max="3" width="8.88888888888889" style="1"/>
    <col min="4" max="4" width="69.7777777777778" style="2" customWidth="1"/>
    <col min="5" max="5" width="11.8888888888889" style="3"/>
    <col min="6" max="16384" width="8.88888888888889" style="1"/>
  </cols>
  <sheetData>
    <row r="1" spans="3:8">
      <c r="C1" s="1" t="s">
        <v>3</v>
      </c>
      <c r="D1" s="1" t="s">
        <v>34</v>
      </c>
      <c r="E1" s="3" t="s">
        <v>1158</v>
      </c>
      <c r="F1" s="1" t="s">
        <v>39</v>
      </c>
      <c r="G1" s="1" t="s">
        <v>7</v>
      </c>
      <c r="H1" s="1" t="s">
        <v>8</v>
      </c>
    </row>
    <row r="2" spans="3:14">
      <c r="C2" s="1">
        <v>1</v>
      </c>
      <c r="D2" s="2" t="s">
        <v>1255</v>
      </c>
      <c r="E2" s="3">
        <v>1605.89</v>
      </c>
      <c r="F2" s="1" t="s">
        <v>100</v>
      </c>
      <c r="G2" s="1">
        <v>482.3</v>
      </c>
      <c r="H2" s="1">
        <v>482.3</v>
      </c>
      <c r="M2" s="4"/>
      <c r="N2" s="2"/>
    </row>
    <row r="3" spans="3:14">
      <c r="C3" s="1">
        <v>2</v>
      </c>
      <c r="D3" s="2" t="s">
        <v>1308</v>
      </c>
      <c r="E3" s="3">
        <v>15948.78</v>
      </c>
      <c r="F3" s="1" t="s">
        <v>100</v>
      </c>
      <c r="G3" s="1">
        <v>12000</v>
      </c>
      <c r="H3" s="1">
        <v>9600</v>
      </c>
      <c r="M3" s="4"/>
      <c r="N3" s="2"/>
    </row>
    <row r="4" spans="3:14">
      <c r="C4" s="1">
        <v>3</v>
      </c>
      <c r="D4" s="2" t="s">
        <v>1264</v>
      </c>
      <c r="E4" s="3">
        <v>458.34</v>
      </c>
      <c r="F4" s="1" t="s">
        <v>100</v>
      </c>
      <c r="G4" s="1">
        <v>358.34</v>
      </c>
      <c r="H4" s="1">
        <v>375.43</v>
      </c>
      <c r="M4" s="4"/>
      <c r="N4" s="2"/>
    </row>
    <row r="5" spans="3:14">
      <c r="C5" s="1">
        <v>4</v>
      </c>
      <c r="D5" s="2" t="s">
        <v>1270</v>
      </c>
      <c r="E5" s="3">
        <v>767.72</v>
      </c>
      <c r="F5" s="1" t="s">
        <v>100</v>
      </c>
      <c r="G5" s="1">
        <v>322.1</v>
      </c>
      <c r="H5" s="1">
        <v>271.94</v>
      </c>
      <c r="M5" s="4"/>
      <c r="N5" s="2"/>
    </row>
    <row r="6" spans="3:14">
      <c r="C6" s="1">
        <v>5</v>
      </c>
      <c r="D6" s="2" t="s">
        <v>1267</v>
      </c>
      <c r="E6" s="3">
        <v>459.22</v>
      </c>
      <c r="F6" s="1" t="s">
        <v>100</v>
      </c>
      <c r="G6" s="1">
        <v>229.3</v>
      </c>
      <c r="H6" s="1">
        <v>288.24</v>
      </c>
      <c r="M6" s="4"/>
      <c r="N6" s="2"/>
    </row>
    <row r="7" spans="3:14">
      <c r="C7" s="1">
        <v>6</v>
      </c>
      <c r="D7" s="2" t="s">
        <v>1259</v>
      </c>
      <c r="E7" s="3">
        <v>178973.23</v>
      </c>
      <c r="F7" s="1" t="s">
        <v>100</v>
      </c>
      <c r="G7" s="1">
        <v>50450</v>
      </c>
      <c r="H7" s="1">
        <v>44093.6536</v>
      </c>
      <c r="M7" s="4"/>
      <c r="N7" s="2"/>
    </row>
    <row r="8" spans="3:14">
      <c r="C8" s="1">
        <v>7</v>
      </c>
      <c r="D8" s="2" t="s">
        <v>1240</v>
      </c>
      <c r="E8" s="3">
        <v>21559.66</v>
      </c>
      <c r="F8" s="1" t="s">
        <v>100</v>
      </c>
      <c r="G8" s="1">
        <v>5000</v>
      </c>
      <c r="H8" s="1">
        <v>4000</v>
      </c>
      <c r="M8" s="4"/>
      <c r="N8" s="2"/>
    </row>
    <row r="9" spans="3:14">
      <c r="C9" s="1">
        <v>8</v>
      </c>
      <c r="D9" s="2" t="s">
        <v>1243</v>
      </c>
      <c r="E9" s="3">
        <v>16751</v>
      </c>
      <c r="F9" s="1" t="s">
        <v>100</v>
      </c>
      <c r="G9" s="1">
        <v>2000</v>
      </c>
      <c r="H9" s="1">
        <v>1600</v>
      </c>
      <c r="M9" s="4"/>
      <c r="N9" s="2"/>
    </row>
    <row r="10" spans="3:14">
      <c r="C10" s="1">
        <v>9</v>
      </c>
      <c r="D10" s="2" t="s">
        <v>1246</v>
      </c>
      <c r="E10" s="3">
        <v>5562.55</v>
      </c>
      <c r="F10" s="1" t="s">
        <v>100</v>
      </c>
      <c r="G10" s="1">
        <v>782</v>
      </c>
      <c r="H10" s="1">
        <v>782</v>
      </c>
      <c r="M10" s="4"/>
      <c r="N10" s="2"/>
    </row>
    <row r="11" spans="3:14">
      <c r="C11" s="1">
        <v>10</v>
      </c>
      <c r="D11" s="2" t="s">
        <v>1251</v>
      </c>
      <c r="E11" s="3">
        <v>5499.62</v>
      </c>
      <c r="F11" s="1" t="s">
        <v>100</v>
      </c>
      <c r="G11" s="1">
        <v>779</v>
      </c>
      <c r="H11" s="1">
        <v>779</v>
      </c>
      <c r="M11" s="4"/>
      <c r="N11" s="2"/>
    </row>
    <row r="12" spans="3:14">
      <c r="C12" s="1">
        <v>11</v>
      </c>
      <c r="D12" s="2" t="s">
        <v>1177</v>
      </c>
      <c r="E12" s="3">
        <v>36309.08</v>
      </c>
      <c r="F12" s="1" t="s">
        <v>100</v>
      </c>
      <c r="G12" s="1">
        <v>10000</v>
      </c>
      <c r="H12" s="1">
        <v>8000</v>
      </c>
      <c r="M12" s="4"/>
      <c r="N12" s="2"/>
    </row>
    <row r="13" spans="3:14">
      <c r="C13" s="1">
        <v>12</v>
      </c>
      <c r="D13" s="2" t="s">
        <v>1181</v>
      </c>
      <c r="E13" s="3">
        <v>46450</v>
      </c>
      <c r="F13" s="1" t="s">
        <v>100</v>
      </c>
      <c r="G13" s="1">
        <v>9000</v>
      </c>
      <c r="H13" s="1">
        <v>7200</v>
      </c>
      <c r="M13" s="4"/>
      <c r="N13" s="2"/>
    </row>
    <row r="14" spans="3:14">
      <c r="C14" s="1">
        <v>13</v>
      </c>
      <c r="D14" s="2" t="s">
        <v>1190</v>
      </c>
      <c r="E14" s="3">
        <v>8388.14</v>
      </c>
      <c r="F14" s="1" t="s">
        <v>100</v>
      </c>
      <c r="G14" s="1">
        <v>4000</v>
      </c>
      <c r="H14" s="1">
        <v>4000</v>
      </c>
      <c r="M14" s="4"/>
      <c r="N14" s="2"/>
    </row>
    <row r="15" spans="3:14">
      <c r="C15" s="1">
        <v>14</v>
      </c>
      <c r="D15" s="2" t="s">
        <v>1235</v>
      </c>
      <c r="E15" s="3">
        <v>16002</v>
      </c>
      <c r="F15" s="1" t="s">
        <v>100</v>
      </c>
      <c r="G15" s="1">
        <v>6250</v>
      </c>
      <c r="H15" s="1">
        <v>5000</v>
      </c>
      <c r="M15" s="4"/>
      <c r="N15" s="2"/>
    </row>
    <row r="16" spans="3:14">
      <c r="C16" s="1">
        <v>15</v>
      </c>
      <c r="D16" s="2" t="s">
        <v>1173</v>
      </c>
      <c r="E16" s="3">
        <v>4499.17</v>
      </c>
      <c r="F16" s="1" t="s">
        <v>100</v>
      </c>
      <c r="G16" s="1">
        <v>1020</v>
      </c>
      <c r="H16" s="1">
        <v>830</v>
      </c>
      <c r="M16" s="4"/>
      <c r="N16" s="2"/>
    </row>
    <row r="17" spans="3:14">
      <c r="C17" s="1">
        <v>16</v>
      </c>
      <c r="D17" s="2" t="s">
        <v>1203</v>
      </c>
      <c r="E17" s="3">
        <v>1315.88</v>
      </c>
      <c r="F17" s="1" t="s">
        <v>100</v>
      </c>
      <c r="G17" s="1">
        <v>1250</v>
      </c>
      <c r="H17" s="1">
        <v>1200</v>
      </c>
      <c r="M17" s="4"/>
      <c r="N17" s="2"/>
    </row>
    <row r="18" spans="3:14">
      <c r="C18" s="1">
        <v>17</v>
      </c>
      <c r="D18" s="2" t="s">
        <v>1194</v>
      </c>
      <c r="E18" s="3">
        <v>14265</v>
      </c>
      <c r="F18" s="1" t="s">
        <v>100</v>
      </c>
      <c r="G18" s="1">
        <v>5500</v>
      </c>
      <c r="H18" s="1">
        <v>4400</v>
      </c>
      <c r="M18" s="4"/>
      <c r="N18" s="2"/>
    </row>
    <row r="19" spans="3:14">
      <c r="C19" s="1">
        <v>18</v>
      </c>
      <c r="D19" s="2" t="s">
        <v>1226</v>
      </c>
      <c r="E19" s="3">
        <v>3839.58</v>
      </c>
      <c r="F19" s="1" t="s">
        <v>100</v>
      </c>
      <c r="G19" s="1">
        <v>50</v>
      </c>
      <c r="H19" s="1">
        <v>1726</v>
      </c>
      <c r="M19" s="4"/>
      <c r="N19" s="2"/>
    </row>
    <row r="20" spans="3:14">
      <c r="C20" s="1">
        <v>19</v>
      </c>
      <c r="D20" s="2" t="s">
        <v>1219</v>
      </c>
      <c r="E20" s="3">
        <v>1268.36</v>
      </c>
      <c r="F20" s="1" t="s">
        <v>100</v>
      </c>
      <c r="G20" s="1">
        <v>50</v>
      </c>
      <c r="H20" s="1">
        <v>300</v>
      </c>
      <c r="M20" s="4"/>
      <c r="N20" s="2"/>
    </row>
    <row r="21" spans="3:14">
      <c r="C21" s="1">
        <v>20</v>
      </c>
      <c r="D21" s="2" t="s">
        <v>1213</v>
      </c>
      <c r="E21" s="3">
        <v>2376.09</v>
      </c>
      <c r="F21" s="1" t="s">
        <v>100</v>
      </c>
      <c r="G21" s="1">
        <v>1250</v>
      </c>
      <c r="H21" s="1">
        <v>1000</v>
      </c>
      <c r="M21" s="4"/>
      <c r="N21" s="2"/>
    </row>
    <row r="22" spans="3:14">
      <c r="C22" s="1">
        <v>21</v>
      </c>
      <c r="D22" s="2" t="s">
        <v>1589</v>
      </c>
      <c r="E22" s="3">
        <v>8438.77</v>
      </c>
      <c r="F22" s="1" t="s">
        <v>100</v>
      </c>
      <c r="G22" s="1">
        <v>4000</v>
      </c>
      <c r="H22" s="1">
        <v>3800</v>
      </c>
      <c r="M22" s="4"/>
      <c r="N22" s="2"/>
    </row>
    <row r="23" spans="3:14">
      <c r="C23" s="1">
        <v>22</v>
      </c>
      <c r="D23" s="2" t="s">
        <v>1590</v>
      </c>
      <c r="E23" s="3">
        <v>14632.1</v>
      </c>
      <c r="F23" s="1" t="s">
        <v>100</v>
      </c>
      <c r="G23" s="1">
        <v>1215</v>
      </c>
      <c r="H23" s="1">
        <v>1208.6</v>
      </c>
      <c r="M23" s="4"/>
      <c r="N23" s="2"/>
    </row>
    <row r="24" spans="3:14">
      <c r="C24" s="1">
        <v>23</v>
      </c>
      <c r="D24" s="2" t="s">
        <v>1210</v>
      </c>
      <c r="E24" s="3">
        <v>10066.24</v>
      </c>
      <c r="F24" s="1" t="s">
        <v>100</v>
      </c>
      <c r="G24" s="1">
        <v>2000</v>
      </c>
      <c r="H24" s="1">
        <v>2380.12</v>
      </c>
      <c r="M24" s="4"/>
      <c r="N24" s="2"/>
    </row>
    <row r="25" spans="3:14">
      <c r="C25" s="1">
        <v>24</v>
      </c>
      <c r="D25" s="2" t="s">
        <v>1216</v>
      </c>
      <c r="E25" s="3">
        <v>9612.78</v>
      </c>
      <c r="F25" s="1" t="s">
        <v>100</v>
      </c>
      <c r="G25" s="1">
        <v>2400</v>
      </c>
      <c r="H25" s="1">
        <v>2829.6</v>
      </c>
      <c r="M25" s="4"/>
      <c r="N25" s="2"/>
    </row>
    <row r="26" spans="3:14">
      <c r="C26" s="1">
        <v>25</v>
      </c>
      <c r="D26" s="2" t="s">
        <v>1187</v>
      </c>
      <c r="E26" s="3">
        <v>7013.32</v>
      </c>
      <c r="F26" s="1" t="s">
        <v>100</v>
      </c>
      <c r="G26" s="1">
        <v>100</v>
      </c>
      <c r="H26" s="1">
        <v>120</v>
      </c>
      <c r="M26" s="4"/>
      <c r="N26" s="2"/>
    </row>
    <row r="27" spans="3:14">
      <c r="C27" s="1">
        <v>26</v>
      </c>
      <c r="D27" s="2" t="s">
        <v>1161</v>
      </c>
      <c r="E27" s="3">
        <v>33995.63</v>
      </c>
      <c r="F27" s="1" t="s">
        <v>100</v>
      </c>
      <c r="G27" s="1">
        <v>1864.3</v>
      </c>
      <c r="H27" s="1">
        <v>1903.6962</v>
      </c>
      <c r="M27" s="4"/>
      <c r="N27" s="2"/>
    </row>
    <row r="28" spans="3:14">
      <c r="C28" s="1">
        <v>27</v>
      </c>
      <c r="D28" s="2" t="s">
        <v>1164</v>
      </c>
      <c r="E28" s="3">
        <v>25587.78</v>
      </c>
      <c r="F28" s="1" t="s">
        <v>100</v>
      </c>
      <c r="G28" s="1">
        <v>11194</v>
      </c>
      <c r="H28" s="1">
        <v>9741.7</v>
      </c>
      <c r="M28" s="4"/>
      <c r="N28" s="2"/>
    </row>
    <row r="29" spans="3:14">
      <c r="C29" s="1">
        <v>28</v>
      </c>
      <c r="D29" s="2" t="s">
        <v>1207</v>
      </c>
      <c r="E29" s="3">
        <v>6111.69</v>
      </c>
      <c r="F29" s="1" t="s">
        <v>100</v>
      </c>
      <c r="G29" s="1">
        <v>4336</v>
      </c>
      <c r="H29" s="1">
        <v>3547.13</v>
      </c>
      <c r="M29" s="4"/>
      <c r="N29" s="2"/>
    </row>
    <row r="30" spans="3:14">
      <c r="C30" s="1">
        <v>29</v>
      </c>
      <c r="D30" s="2" t="s">
        <v>1167</v>
      </c>
      <c r="E30" s="3">
        <v>74540</v>
      </c>
      <c r="F30" s="1" t="s">
        <v>100</v>
      </c>
      <c r="G30" s="1">
        <v>8000</v>
      </c>
      <c r="H30" s="1">
        <v>8800</v>
      </c>
      <c r="M30" s="4"/>
      <c r="N30" s="2"/>
    </row>
    <row r="31" spans="3:14">
      <c r="C31" s="1">
        <v>30</v>
      </c>
      <c r="D31" s="2" t="s">
        <v>1200</v>
      </c>
      <c r="E31" s="3">
        <v>25873</v>
      </c>
      <c r="F31" s="1" t="s">
        <v>100</v>
      </c>
      <c r="G31" s="1">
        <v>1700</v>
      </c>
      <c r="H31" s="1">
        <v>2000</v>
      </c>
      <c r="M31" s="4"/>
      <c r="N31" s="2"/>
    </row>
    <row r="32" spans="3:14">
      <c r="C32" s="1">
        <v>31</v>
      </c>
      <c r="D32" s="2" t="s">
        <v>1170</v>
      </c>
      <c r="E32" s="3">
        <v>11700</v>
      </c>
      <c r="F32" s="1" t="s">
        <v>100</v>
      </c>
      <c r="G32" s="1">
        <v>2400</v>
      </c>
      <c r="H32" s="1">
        <v>2520</v>
      </c>
      <c r="M32" s="4"/>
      <c r="N32" s="2"/>
    </row>
    <row r="33" spans="3:14">
      <c r="C33" s="1">
        <v>32</v>
      </c>
      <c r="D33" s="2" t="s">
        <v>1277</v>
      </c>
      <c r="E33" s="3">
        <v>3680</v>
      </c>
      <c r="F33" s="1" t="s">
        <v>100</v>
      </c>
      <c r="G33" s="1">
        <v>1545.325</v>
      </c>
      <c r="H33" s="1">
        <v>1277.94</v>
      </c>
      <c r="M33" s="4"/>
      <c r="N33" s="2"/>
    </row>
    <row r="34" spans="3:14">
      <c r="C34" s="1">
        <v>33</v>
      </c>
      <c r="D34" s="2" t="s">
        <v>1273</v>
      </c>
      <c r="E34" s="3">
        <v>214880</v>
      </c>
      <c r="F34" s="1" t="s">
        <v>100</v>
      </c>
      <c r="G34" s="1">
        <v>35696</v>
      </c>
      <c r="H34" s="1">
        <v>42793.495425</v>
      </c>
      <c r="M34" s="4"/>
      <c r="N34" s="2"/>
    </row>
    <row r="35" spans="3:14">
      <c r="C35" s="1">
        <v>34</v>
      </c>
      <c r="D35" s="2" t="s">
        <v>1280</v>
      </c>
      <c r="E35" s="3">
        <v>670</v>
      </c>
      <c r="F35" s="1" t="s">
        <v>100</v>
      </c>
      <c r="G35" s="1">
        <v>404.23</v>
      </c>
      <c r="H35" s="1">
        <v>404.23</v>
      </c>
      <c r="M35" s="4"/>
      <c r="N35" s="2"/>
    </row>
    <row r="36" spans="3:14">
      <c r="C36" s="1">
        <v>35</v>
      </c>
      <c r="D36" s="2" t="s">
        <v>1349</v>
      </c>
      <c r="E36" s="3">
        <v>16000</v>
      </c>
      <c r="F36" s="1" t="s">
        <v>1290</v>
      </c>
      <c r="G36" s="1">
        <v>10000</v>
      </c>
      <c r="H36" s="1">
        <v>8000</v>
      </c>
      <c r="M36" s="4"/>
      <c r="N36" s="2"/>
    </row>
    <row r="37" spans="3:14">
      <c r="C37" s="1">
        <v>36</v>
      </c>
      <c r="D37" s="2" t="s">
        <v>1321</v>
      </c>
      <c r="E37" s="3">
        <v>2997.24</v>
      </c>
      <c r="F37" s="1" t="s">
        <v>1290</v>
      </c>
      <c r="G37" s="1">
        <v>1935</v>
      </c>
      <c r="H37" s="1">
        <v>1935</v>
      </c>
      <c r="M37" s="4"/>
      <c r="N37" s="2"/>
    </row>
    <row r="38" spans="3:14">
      <c r="C38" s="1">
        <v>37</v>
      </c>
      <c r="D38" s="2" t="s">
        <v>1318</v>
      </c>
      <c r="E38" s="3">
        <v>8000</v>
      </c>
      <c r="F38" s="1" t="s">
        <v>1290</v>
      </c>
      <c r="G38" s="1">
        <v>5960.17</v>
      </c>
      <c r="H38" s="1">
        <v>5960.17</v>
      </c>
      <c r="M38" s="4"/>
      <c r="N38" s="2"/>
    </row>
    <row r="39" spans="3:14">
      <c r="C39" s="1">
        <v>38</v>
      </c>
      <c r="D39" s="2" t="s">
        <v>1591</v>
      </c>
      <c r="E39" s="3">
        <v>4627.57</v>
      </c>
      <c r="F39" s="1" t="s">
        <v>1290</v>
      </c>
      <c r="G39" s="1">
        <v>4450</v>
      </c>
      <c r="H39" s="1">
        <v>3600</v>
      </c>
      <c r="M39" s="4"/>
      <c r="N39" s="5"/>
    </row>
    <row r="40" spans="3:14">
      <c r="C40" s="1">
        <v>39</v>
      </c>
      <c r="D40" s="2" t="s">
        <v>1353</v>
      </c>
      <c r="E40" s="3">
        <v>654.8</v>
      </c>
      <c r="F40" s="1" t="s">
        <v>1290</v>
      </c>
      <c r="G40" s="1">
        <v>654.8</v>
      </c>
      <c r="H40" s="1">
        <v>630</v>
      </c>
      <c r="M40" s="4"/>
      <c r="N40" s="2"/>
    </row>
    <row r="41" spans="3:14">
      <c r="C41" s="1">
        <v>40</v>
      </c>
      <c r="D41" s="2" t="s">
        <v>1324</v>
      </c>
      <c r="E41" s="3">
        <v>5836.87</v>
      </c>
      <c r="F41" s="1" t="s">
        <v>1290</v>
      </c>
      <c r="G41" s="1">
        <v>3860</v>
      </c>
      <c r="H41" s="1">
        <v>3199.76</v>
      </c>
      <c r="M41" s="4"/>
      <c r="N41" s="2"/>
    </row>
    <row r="42" spans="3:14">
      <c r="C42" s="1">
        <v>41</v>
      </c>
      <c r="D42" s="2" t="s">
        <v>1422</v>
      </c>
      <c r="E42" s="3">
        <v>17848.36</v>
      </c>
      <c r="F42" s="1" t="s">
        <v>1290</v>
      </c>
      <c r="G42" s="1">
        <v>10500</v>
      </c>
      <c r="H42" s="1">
        <v>9918.9</v>
      </c>
      <c r="M42" s="4"/>
      <c r="N42" s="2"/>
    </row>
    <row r="43" spans="3:14">
      <c r="C43" s="1">
        <v>42</v>
      </c>
      <c r="D43" s="2" t="s">
        <v>1328</v>
      </c>
      <c r="E43" s="3">
        <v>904</v>
      </c>
      <c r="F43" s="1" t="s">
        <v>1290</v>
      </c>
      <c r="G43" s="1">
        <v>904</v>
      </c>
      <c r="H43" s="1">
        <v>780</v>
      </c>
      <c r="M43" s="4"/>
      <c r="N43" s="2"/>
    </row>
    <row r="44" spans="3:14">
      <c r="C44" s="1">
        <v>43</v>
      </c>
      <c r="D44" s="2" t="s">
        <v>1592</v>
      </c>
      <c r="E44" s="3">
        <v>3084.9</v>
      </c>
      <c r="F44" s="1" t="s">
        <v>1290</v>
      </c>
      <c r="G44" s="1">
        <v>2850</v>
      </c>
      <c r="H44" s="1">
        <v>2422.5</v>
      </c>
      <c r="M44" s="4"/>
      <c r="N44" s="2"/>
    </row>
    <row r="45" spans="3:14">
      <c r="C45" s="1">
        <v>44</v>
      </c>
      <c r="D45" s="2" t="s">
        <v>1304</v>
      </c>
      <c r="E45" s="3">
        <v>9509.57</v>
      </c>
      <c r="F45" s="1" t="s">
        <v>1290</v>
      </c>
      <c r="G45" s="1">
        <v>2000</v>
      </c>
      <c r="H45" s="1">
        <v>1700</v>
      </c>
      <c r="M45" s="4"/>
      <c r="N45" s="2"/>
    </row>
    <row r="46" spans="3:14">
      <c r="C46" s="1">
        <v>45</v>
      </c>
      <c r="D46" s="2" t="s">
        <v>1336</v>
      </c>
      <c r="E46" s="3">
        <v>9200</v>
      </c>
      <c r="F46" s="1" t="s">
        <v>1290</v>
      </c>
      <c r="G46" s="1">
        <v>1500</v>
      </c>
      <c r="H46" s="1">
        <v>1275</v>
      </c>
      <c r="M46" s="4"/>
      <c r="N46" s="2"/>
    </row>
    <row r="47" spans="3:14">
      <c r="C47" s="1">
        <v>46</v>
      </c>
      <c r="D47" s="2" t="s">
        <v>1382</v>
      </c>
      <c r="E47" s="3">
        <v>18021</v>
      </c>
      <c r="F47" s="1" t="s">
        <v>1290</v>
      </c>
      <c r="G47" s="1">
        <v>3000</v>
      </c>
      <c r="H47" s="1">
        <v>2400</v>
      </c>
      <c r="M47" s="4"/>
      <c r="N47" s="2"/>
    </row>
    <row r="48" spans="3:14">
      <c r="C48" s="1">
        <v>47</v>
      </c>
      <c r="D48" s="2" t="s">
        <v>1342</v>
      </c>
      <c r="E48" s="3">
        <v>2300</v>
      </c>
      <c r="F48" s="1" t="s">
        <v>1290</v>
      </c>
      <c r="G48" s="1">
        <v>500</v>
      </c>
      <c r="H48" s="1">
        <v>400</v>
      </c>
      <c r="M48" s="4"/>
      <c r="N48" s="2"/>
    </row>
    <row r="49" spans="3:14">
      <c r="C49" s="1">
        <v>48</v>
      </c>
      <c r="D49" s="2" t="s">
        <v>1593</v>
      </c>
      <c r="E49" s="3">
        <v>1700</v>
      </c>
      <c r="F49" s="1" t="s">
        <v>1290</v>
      </c>
      <c r="G49" s="1">
        <v>100</v>
      </c>
      <c r="H49" s="1">
        <v>100</v>
      </c>
      <c r="M49" s="4"/>
      <c r="N49" s="2"/>
    </row>
    <row r="50" spans="3:14">
      <c r="C50" s="1">
        <v>49</v>
      </c>
      <c r="D50" s="2" t="s">
        <v>1449</v>
      </c>
      <c r="E50" s="3">
        <v>3000</v>
      </c>
      <c r="F50" s="1" t="s">
        <v>1290</v>
      </c>
      <c r="G50" s="1">
        <v>1000</v>
      </c>
      <c r="H50" s="1">
        <v>800</v>
      </c>
      <c r="M50" s="4"/>
      <c r="N50" s="2"/>
    </row>
    <row r="51" spans="3:14">
      <c r="C51" s="1">
        <v>50</v>
      </c>
      <c r="D51" s="2" t="s">
        <v>1313</v>
      </c>
      <c r="E51" s="3">
        <v>39365</v>
      </c>
      <c r="F51" s="1" t="s">
        <v>1290</v>
      </c>
      <c r="G51" s="1">
        <v>20000</v>
      </c>
      <c r="H51" s="1">
        <v>17880</v>
      </c>
      <c r="M51" s="4"/>
      <c r="N51" s="2"/>
    </row>
    <row r="52" spans="3:14">
      <c r="C52" s="1">
        <v>51</v>
      </c>
      <c r="D52" s="2" t="s">
        <v>1331</v>
      </c>
      <c r="E52" s="3">
        <v>600</v>
      </c>
      <c r="F52" s="1" t="s">
        <v>1367</v>
      </c>
      <c r="M52" s="4"/>
      <c r="N52" s="2"/>
    </row>
    <row r="53" spans="3:14">
      <c r="C53" s="1">
        <v>52</v>
      </c>
      <c r="D53" s="2" t="s">
        <v>1553</v>
      </c>
      <c r="E53" s="3">
        <v>20000</v>
      </c>
      <c r="F53" s="1" t="s">
        <v>1367</v>
      </c>
      <c r="M53" s="4"/>
      <c r="N53" s="2"/>
    </row>
    <row r="54" spans="3:14">
      <c r="C54" s="1">
        <v>53</v>
      </c>
      <c r="D54" s="2" t="s">
        <v>1528</v>
      </c>
      <c r="E54" s="3">
        <v>0.6251</v>
      </c>
      <c r="F54" s="1" t="s">
        <v>1367</v>
      </c>
      <c r="M54" s="4"/>
      <c r="N54" s="2"/>
    </row>
    <row r="55" spans="3:14">
      <c r="C55" s="1">
        <v>54</v>
      </c>
      <c r="D55" s="2" t="s">
        <v>1537</v>
      </c>
      <c r="E55" s="3">
        <v>3000</v>
      </c>
      <c r="F55" s="1" t="s">
        <v>1367</v>
      </c>
      <c r="M55" s="4"/>
      <c r="N55" s="2"/>
    </row>
    <row r="56" spans="3:14">
      <c r="C56" s="1">
        <v>55</v>
      </c>
      <c r="D56" s="2" t="s">
        <v>1545</v>
      </c>
      <c r="E56" s="3">
        <v>80.2688</v>
      </c>
      <c r="F56" s="1" t="s">
        <v>1367</v>
      </c>
      <c r="M56" s="4"/>
      <c r="N56" s="2"/>
    </row>
    <row r="57" spans="3:14">
      <c r="C57" s="1">
        <v>56</v>
      </c>
      <c r="D57" s="2" t="s">
        <v>1560</v>
      </c>
      <c r="E57" s="3" t="s">
        <v>1594</v>
      </c>
      <c r="F57" s="1" t="s">
        <v>1367</v>
      </c>
      <c r="M57" s="4"/>
      <c r="N57" s="2"/>
    </row>
    <row r="58" spans="3:14">
      <c r="C58" s="1">
        <v>57</v>
      </c>
      <c r="D58" s="2" t="s">
        <v>1595</v>
      </c>
      <c r="E58" s="3" t="s">
        <v>1596</v>
      </c>
      <c r="F58" s="1" t="s">
        <v>1367</v>
      </c>
      <c r="M58" s="4"/>
      <c r="N58" s="2"/>
    </row>
    <row r="59" s="1" customFormat="1" spans="3:14">
      <c r="C59" s="1">
        <v>58</v>
      </c>
      <c r="D59" s="2" t="s">
        <v>1597</v>
      </c>
      <c r="E59" s="3">
        <v>853.6</v>
      </c>
      <c r="F59" s="1" t="s">
        <v>1367</v>
      </c>
      <c r="M59" s="4"/>
      <c r="N59" s="2"/>
    </row>
    <row r="60" spans="3:14">
      <c r="C60" s="1">
        <v>59</v>
      </c>
      <c r="D60" s="2" t="s">
        <v>1549</v>
      </c>
      <c r="E60" s="3">
        <v>20000</v>
      </c>
      <c r="F60" s="1" t="s">
        <v>1367</v>
      </c>
      <c r="M60" s="4"/>
      <c r="N60" s="2"/>
    </row>
    <row r="61" spans="3:14">
      <c r="C61" s="1">
        <v>60</v>
      </c>
      <c r="D61" s="2" t="s">
        <v>1535</v>
      </c>
      <c r="E61" s="3">
        <v>800</v>
      </c>
      <c r="F61" s="1" t="s">
        <v>1367</v>
      </c>
      <c r="M61" s="4"/>
      <c r="N61" s="2"/>
    </row>
    <row r="62" spans="3:14">
      <c r="C62" s="1">
        <v>61</v>
      </c>
      <c r="D62" s="2" t="s">
        <v>1551</v>
      </c>
      <c r="E62" s="3" t="s">
        <v>1598</v>
      </c>
      <c r="F62" s="1" t="s">
        <v>1367</v>
      </c>
      <c r="M62" s="4"/>
      <c r="N62" s="2"/>
    </row>
    <row r="63" spans="3:14">
      <c r="C63" s="1">
        <v>62</v>
      </c>
      <c r="D63" s="2" t="s">
        <v>1557</v>
      </c>
      <c r="E63" s="3" t="s">
        <v>1599</v>
      </c>
      <c r="F63" s="1" t="s">
        <v>1367</v>
      </c>
      <c r="M63" s="4"/>
      <c r="N63" s="2"/>
    </row>
    <row r="64" spans="3:14">
      <c r="C64" s="1">
        <v>63</v>
      </c>
      <c r="D64" s="2" t="s">
        <v>1547</v>
      </c>
      <c r="E64" s="3" t="s">
        <v>1600</v>
      </c>
      <c r="F64" s="1" t="s">
        <v>1367</v>
      </c>
      <c r="M64" s="4"/>
      <c r="N64" s="2"/>
    </row>
    <row r="65" spans="3:14">
      <c r="C65" s="1">
        <v>64</v>
      </c>
      <c r="D65" s="2" t="s">
        <v>1555</v>
      </c>
      <c r="E65" s="3">
        <v>47000</v>
      </c>
      <c r="F65" s="1" t="s">
        <v>1367</v>
      </c>
      <c r="M65" s="4"/>
      <c r="N65" s="2"/>
    </row>
    <row r="66" spans="3:14">
      <c r="C66" s="1">
        <v>65</v>
      </c>
      <c r="D66" s="2" t="s">
        <v>1376</v>
      </c>
      <c r="E66" s="3">
        <v>8000</v>
      </c>
      <c r="F66" s="1" t="s">
        <v>1367</v>
      </c>
      <c r="M66" s="4"/>
      <c r="N66" s="2"/>
    </row>
    <row r="67" spans="3:14">
      <c r="C67" s="1">
        <v>66</v>
      </c>
      <c r="D67" s="2" t="s">
        <v>1416</v>
      </c>
      <c r="E67" s="3">
        <v>17000</v>
      </c>
      <c r="F67" s="1" t="s">
        <v>1367</v>
      </c>
      <c r="M67" s="4"/>
      <c r="N67" s="2"/>
    </row>
    <row r="68" spans="3:14">
      <c r="C68" s="1">
        <v>67</v>
      </c>
      <c r="D68" s="2" t="s">
        <v>1401</v>
      </c>
      <c r="E68" s="3">
        <v>800</v>
      </c>
      <c r="F68" s="1" t="s">
        <v>1367</v>
      </c>
      <c r="M68" s="4"/>
      <c r="N68" s="2"/>
    </row>
    <row r="69" spans="3:14">
      <c r="C69" s="1">
        <v>68</v>
      </c>
      <c r="D69" s="2" t="s">
        <v>1460</v>
      </c>
      <c r="E69" s="3">
        <v>15000</v>
      </c>
      <c r="F69" s="1" t="s">
        <v>1367</v>
      </c>
      <c r="M69" s="4"/>
      <c r="N69" s="2"/>
    </row>
    <row r="70" spans="3:14">
      <c r="C70" s="1">
        <v>69</v>
      </c>
      <c r="D70" s="2" t="s">
        <v>1403</v>
      </c>
      <c r="E70" s="3">
        <v>1021.46</v>
      </c>
      <c r="F70" s="1" t="s">
        <v>1367</v>
      </c>
      <c r="M70" s="4"/>
      <c r="N70" s="2"/>
    </row>
    <row r="71" spans="3:14">
      <c r="C71" s="1">
        <v>70</v>
      </c>
      <c r="D71" s="2" t="s">
        <v>1454</v>
      </c>
      <c r="E71" s="3">
        <v>4284.74</v>
      </c>
      <c r="F71" s="1" t="s">
        <v>1367</v>
      </c>
      <c r="M71" s="4"/>
      <c r="N71" s="2"/>
    </row>
    <row r="72" spans="3:14">
      <c r="C72" s="1">
        <v>71</v>
      </c>
      <c r="D72" s="2" t="s">
        <v>1466</v>
      </c>
      <c r="E72" s="3">
        <v>11304</v>
      </c>
      <c r="F72" s="1" t="s">
        <v>1367</v>
      </c>
      <c r="M72" s="4"/>
      <c r="N72" s="2"/>
    </row>
    <row r="73" spans="3:14">
      <c r="C73" s="1">
        <v>72</v>
      </c>
      <c r="D73" s="2" t="s">
        <v>1345</v>
      </c>
      <c r="E73" s="3">
        <v>1445.46</v>
      </c>
      <c r="F73" s="1" t="s">
        <v>1367</v>
      </c>
      <c r="M73" s="4"/>
      <c r="N73" s="2"/>
    </row>
    <row r="74" spans="3:14">
      <c r="C74" s="1">
        <v>73</v>
      </c>
      <c r="D74" s="2" t="s">
        <v>1452</v>
      </c>
      <c r="E74" s="3">
        <v>2596.19</v>
      </c>
      <c r="F74" s="1" t="s">
        <v>1367</v>
      </c>
      <c r="M74" s="4"/>
      <c r="N74" s="2"/>
    </row>
    <row r="75" spans="3:14">
      <c r="C75" s="1">
        <v>74</v>
      </c>
      <c r="D75" s="2" t="s">
        <v>1442</v>
      </c>
      <c r="F75" s="1" t="s">
        <v>1367</v>
      </c>
      <c r="M75" s="4"/>
      <c r="N75" s="2"/>
    </row>
    <row r="76" spans="3:14">
      <c r="C76" s="1">
        <v>75</v>
      </c>
      <c r="D76" s="2" t="s">
        <v>1601</v>
      </c>
      <c r="F76" s="1" t="s">
        <v>1367</v>
      </c>
      <c r="M76" s="4"/>
      <c r="N76" s="2"/>
    </row>
    <row r="77" spans="3:14">
      <c r="C77" s="1">
        <v>76</v>
      </c>
      <c r="D77" s="2" t="s">
        <v>1602</v>
      </c>
      <c r="E77" s="3">
        <v>4080.47</v>
      </c>
      <c r="F77" s="1" t="s">
        <v>1367</v>
      </c>
      <c r="M77" s="4"/>
      <c r="N77" s="2"/>
    </row>
    <row r="78" spans="3:14">
      <c r="C78" s="1">
        <v>77</v>
      </c>
      <c r="D78" s="2" t="s">
        <v>1431</v>
      </c>
      <c r="E78" s="3">
        <v>3500</v>
      </c>
      <c r="F78" s="1" t="s">
        <v>1367</v>
      </c>
      <c r="M78" s="4"/>
      <c r="N78" s="2"/>
    </row>
    <row r="79" spans="3:14">
      <c r="C79" s="1">
        <v>78</v>
      </c>
      <c r="D79" s="2" t="s">
        <v>1294</v>
      </c>
      <c r="E79" s="3">
        <v>2700</v>
      </c>
      <c r="F79" s="1" t="s">
        <v>1367</v>
      </c>
      <c r="M79" s="4"/>
      <c r="N79" s="2"/>
    </row>
    <row r="80" spans="3:14">
      <c r="C80" s="1">
        <v>79</v>
      </c>
      <c r="D80" s="2" t="s">
        <v>1439</v>
      </c>
      <c r="E80" s="3">
        <v>1500</v>
      </c>
      <c r="F80" s="1" t="s">
        <v>1367</v>
      </c>
      <c r="M80" s="4"/>
      <c r="N80" s="2"/>
    </row>
    <row r="81" s="1" customFormat="1" spans="3:14">
      <c r="C81" s="1">
        <v>80</v>
      </c>
      <c r="D81" s="2" t="s">
        <v>1388</v>
      </c>
      <c r="E81" s="3">
        <v>4200</v>
      </c>
      <c r="F81" s="1" t="s">
        <v>1367</v>
      </c>
      <c r="M81" s="4"/>
      <c r="N81" s="2"/>
    </row>
    <row r="82" s="1" customFormat="1" spans="3:14">
      <c r="C82" s="1">
        <v>81</v>
      </c>
      <c r="D82" s="2" t="s">
        <v>1428</v>
      </c>
      <c r="E82" s="3">
        <v>4300</v>
      </c>
      <c r="F82" s="1" t="s">
        <v>1367</v>
      </c>
      <c r="M82" s="4"/>
      <c r="N82" s="2"/>
    </row>
    <row r="83" s="1" customFormat="1" spans="3:14">
      <c r="C83" s="1">
        <v>82</v>
      </c>
      <c r="D83" s="2" t="s">
        <v>1370</v>
      </c>
      <c r="E83" s="3">
        <v>7320</v>
      </c>
      <c r="F83" s="1" t="s">
        <v>1367</v>
      </c>
      <c r="M83" s="4"/>
      <c r="N83" s="2"/>
    </row>
    <row r="84" s="1" customFormat="1" spans="3:14">
      <c r="C84" s="1">
        <v>83</v>
      </c>
      <c r="D84" s="2" t="s">
        <v>1302</v>
      </c>
      <c r="E84" s="3">
        <v>4566.55</v>
      </c>
      <c r="F84" s="1" t="s">
        <v>1367</v>
      </c>
      <c r="M84" s="4"/>
      <c r="N84" s="2"/>
    </row>
    <row r="85" spans="3:14">
      <c r="C85" s="1">
        <v>84</v>
      </c>
      <c r="D85" s="2" t="s">
        <v>1437</v>
      </c>
      <c r="E85" s="3">
        <v>2800</v>
      </c>
      <c r="F85" s="1" t="s">
        <v>1367</v>
      </c>
      <c r="M85" s="4"/>
      <c r="N85" s="2"/>
    </row>
    <row r="86" spans="3:14">
      <c r="C86" s="1">
        <v>85</v>
      </c>
      <c r="D86" s="2" t="s">
        <v>1456</v>
      </c>
      <c r="E86" s="3">
        <v>1000</v>
      </c>
      <c r="F86" s="1" t="s">
        <v>1367</v>
      </c>
      <c r="M86" s="4"/>
      <c r="N86" s="2"/>
    </row>
    <row r="87" spans="3:14">
      <c r="C87" s="1">
        <v>86</v>
      </c>
      <c r="D87" s="2" t="s">
        <v>1298</v>
      </c>
      <c r="E87" s="3">
        <v>4504.42</v>
      </c>
      <c r="F87" s="1" t="s">
        <v>1367</v>
      </c>
      <c r="M87" s="4"/>
      <c r="N87" s="2"/>
    </row>
    <row r="88" spans="3:14">
      <c r="C88" s="1">
        <v>87</v>
      </c>
      <c r="D88" s="2" t="s">
        <v>1424</v>
      </c>
      <c r="E88" s="3">
        <v>4800</v>
      </c>
      <c r="F88" s="1" t="s">
        <v>1367</v>
      </c>
      <c r="M88" s="4"/>
      <c r="N88" s="2"/>
    </row>
    <row r="89" spans="3:14">
      <c r="C89" s="1">
        <v>88</v>
      </c>
      <c r="D89" s="2" t="s">
        <v>1433</v>
      </c>
      <c r="E89" s="3">
        <v>4000</v>
      </c>
      <c r="F89" s="1" t="s">
        <v>1367</v>
      </c>
      <c r="M89" s="4"/>
      <c r="N89" s="2"/>
    </row>
    <row r="90" spans="3:14">
      <c r="C90" s="1">
        <v>89</v>
      </c>
      <c r="D90" s="2" t="s">
        <v>1418</v>
      </c>
      <c r="E90" s="3">
        <v>7500</v>
      </c>
      <c r="F90" s="1" t="s">
        <v>1367</v>
      </c>
      <c r="M90" s="4"/>
      <c r="N90" s="2"/>
    </row>
    <row r="91" spans="3:14">
      <c r="C91" s="1">
        <v>90</v>
      </c>
      <c r="D91" s="2" t="s">
        <v>1288</v>
      </c>
      <c r="E91" s="3">
        <v>9998.51</v>
      </c>
      <c r="F91" s="1" t="s">
        <v>1367</v>
      </c>
      <c r="M91" s="4"/>
      <c r="N91" s="2"/>
    </row>
    <row r="92" spans="3:14">
      <c r="C92" s="1">
        <v>91</v>
      </c>
      <c r="D92" s="2" t="s">
        <v>1458</v>
      </c>
      <c r="E92" s="3">
        <v>1000</v>
      </c>
      <c r="F92" s="1" t="s">
        <v>1367</v>
      </c>
      <c r="M92" s="4"/>
      <c r="N92" s="2"/>
    </row>
    <row r="93" spans="3:14">
      <c r="C93" s="1">
        <v>92</v>
      </c>
      <c r="D93" s="2" t="s">
        <v>1413</v>
      </c>
      <c r="E93" s="3">
        <v>9000</v>
      </c>
      <c r="F93" s="1" t="s">
        <v>1367</v>
      </c>
      <c r="M93" s="4"/>
      <c r="N93" s="2"/>
    </row>
    <row r="94" spans="3:14">
      <c r="C94" s="1">
        <v>93</v>
      </c>
      <c r="D94" s="2" t="s">
        <v>1339</v>
      </c>
      <c r="E94" s="3">
        <v>3400</v>
      </c>
      <c r="F94" s="1" t="s">
        <v>1367</v>
      </c>
      <c r="M94" s="4"/>
      <c r="N94" s="2"/>
    </row>
    <row r="95" spans="3:14">
      <c r="C95" s="1">
        <v>94</v>
      </c>
      <c r="D95" s="2" t="s">
        <v>1603</v>
      </c>
      <c r="E95" s="3">
        <v>4321.64</v>
      </c>
      <c r="F95" s="1" t="s">
        <v>1367</v>
      </c>
      <c r="M95" s="4"/>
      <c r="N95" s="2"/>
    </row>
    <row r="96" spans="3:14">
      <c r="C96" s="1">
        <v>95</v>
      </c>
      <c r="D96" s="2" t="s">
        <v>1410</v>
      </c>
      <c r="E96" s="3">
        <v>11000</v>
      </c>
      <c r="F96" s="1" t="s">
        <v>1367</v>
      </c>
      <c r="M96" s="4"/>
      <c r="N96" s="2"/>
    </row>
    <row r="97" spans="3:14">
      <c r="C97" s="1">
        <v>96</v>
      </c>
      <c r="D97" s="2" t="s">
        <v>1435</v>
      </c>
      <c r="E97" s="3">
        <v>2856.86</v>
      </c>
      <c r="F97" s="1" t="s">
        <v>1367</v>
      </c>
      <c r="M97" s="4"/>
      <c r="N97" s="2"/>
    </row>
    <row r="98" spans="3:14">
      <c r="C98" s="1">
        <v>97</v>
      </c>
      <c r="D98" s="2" t="s">
        <v>1398</v>
      </c>
      <c r="E98" s="3">
        <v>35065.34</v>
      </c>
      <c r="F98" s="1" t="s">
        <v>1367</v>
      </c>
      <c r="M98" s="4"/>
      <c r="N98" s="2"/>
    </row>
    <row r="99" spans="3:14">
      <c r="C99" s="1">
        <v>98</v>
      </c>
      <c r="D99" s="2" t="s">
        <v>1386</v>
      </c>
      <c r="E99" s="3">
        <v>3433.68</v>
      </c>
      <c r="F99" s="1" t="s">
        <v>1367</v>
      </c>
      <c r="M99" s="4"/>
      <c r="N99" s="2"/>
    </row>
    <row r="100" spans="3:14">
      <c r="C100" s="1">
        <v>99</v>
      </c>
      <c r="D100" s="2" t="s">
        <v>1380</v>
      </c>
      <c r="E100" s="3">
        <v>23000</v>
      </c>
      <c r="F100" s="1" t="s">
        <v>1367</v>
      </c>
      <c r="M100" s="4"/>
      <c r="N100" s="2"/>
    </row>
    <row r="101" spans="3:14">
      <c r="C101" s="1">
        <v>100</v>
      </c>
      <c r="D101" s="2" t="s">
        <v>1364</v>
      </c>
      <c r="E101" s="3">
        <v>100000</v>
      </c>
      <c r="F101" s="1" t="s">
        <v>1367</v>
      </c>
      <c r="M101" s="4"/>
      <c r="N101" s="2"/>
    </row>
    <row r="102" spans="3:14">
      <c r="C102" s="1">
        <v>101</v>
      </c>
      <c r="D102" s="2" t="s">
        <v>1384</v>
      </c>
      <c r="E102" s="3">
        <v>8020</v>
      </c>
      <c r="F102" s="1" t="s">
        <v>1367</v>
      </c>
      <c r="M102" s="4"/>
      <c r="N102" s="2"/>
    </row>
    <row r="103" spans="3:14">
      <c r="C103" s="1">
        <v>102</v>
      </c>
      <c r="D103" s="2" t="s">
        <v>1445</v>
      </c>
      <c r="E103" s="3" t="s">
        <v>1604</v>
      </c>
      <c r="F103" s="1" t="s">
        <v>1367</v>
      </c>
      <c r="M103" s="4"/>
      <c r="N103" s="2"/>
    </row>
    <row r="104" spans="3:14">
      <c r="C104" s="1">
        <v>103</v>
      </c>
      <c r="D104" s="2" t="s">
        <v>1378</v>
      </c>
      <c r="E104" s="3" t="s">
        <v>1605</v>
      </c>
      <c r="F104" s="1" t="s">
        <v>1367</v>
      </c>
      <c r="M104" s="4"/>
      <c r="N104" s="2"/>
    </row>
    <row r="105" spans="3:14">
      <c r="C105" s="1">
        <v>104</v>
      </c>
      <c r="D105" s="2" t="s">
        <v>1426</v>
      </c>
      <c r="E105" s="3" t="s">
        <v>1606</v>
      </c>
      <c r="F105" s="1" t="s">
        <v>1367</v>
      </c>
      <c r="M105" s="4"/>
      <c r="N105" s="2"/>
    </row>
    <row r="106" spans="3:14">
      <c r="C106" s="1">
        <v>105</v>
      </c>
      <c r="D106" s="2" t="s">
        <v>1420</v>
      </c>
      <c r="E106" s="3">
        <v>6974</v>
      </c>
      <c r="F106" s="1" t="s">
        <v>1367</v>
      </c>
      <c r="M106" s="4"/>
      <c r="N106" s="2"/>
    </row>
    <row r="107" spans="3:14">
      <c r="C107" s="1">
        <v>106</v>
      </c>
      <c r="D107" s="2" t="s">
        <v>1405</v>
      </c>
      <c r="E107" s="3">
        <v>15000</v>
      </c>
      <c r="F107" s="1" t="s">
        <v>1367</v>
      </c>
      <c r="M107" s="4"/>
      <c r="N107" s="2"/>
    </row>
    <row r="108" spans="3:14">
      <c r="C108" s="1">
        <v>107</v>
      </c>
      <c r="D108" s="2" t="s">
        <v>1407</v>
      </c>
      <c r="E108" s="3">
        <v>15000</v>
      </c>
      <c r="F108" s="1" t="s">
        <v>1367</v>
      </c>
      <c r="M108" s="4"/>
      <c r="N108" s="2"/>
    </row>
    <row r="109" spans="3:14">
      <c r="C109" s="1">
        <v>108</v>
      </c>
      <c r="D109" s="2" t="s">
        <v>1464</v>
      </c>
      <c r="E109" s="3">
        <v>17190.1</v>
      </c>
      <c r="F109" s="1" t="s">
        <v>1367</v>
      </c>
      <c r="M109" s="4"/>
      <c r="N109" s="2"/>
    </row>
    <row r="110" spans="3:14">
      <c r="C110" s="1">
        <v>109</v>
      </c>
      <c r="D110" s="2" t="s">
        <v>1577</v>
      </c>
      <c r="E110" s="3">
        <v>3500</v>
      </c>
      <c r="F110" s="1" t="s">
        <v>1367</v>
      </c>
      <c r="M110" s="4"/>
      <c r="N110" s="2"/>
    </row>
    <row r="111" spans="3:14">
      <c r="C111" s="1">
        <v>110</v>
      </c>
      <c r="D111" s="2" t="s">
        <v>1579</v>
      </c>
      <c r="E111" s="3">
        <v>2450</v>
      </c>
      <c r="F111" s="1" t="s">
        <v>1367</v>
      </c>
      <c r="M111" s="4"/>
      <c r="N111" s="2"/>
    </row>
    <row r="112" spans="3:14">
      <c r="C112" s="1">
        <v>111</v>
      </c>
      <c r="D112" s="2" t="s">
        <v>1582</v>
      </c>
      <c r="E112" s="3">
        <v>793.39</v>
      </c>
      <c r="F112" s="1" t="s">
        <v>1367</v>
      </c>
      <c r="M112" s="4"/>
      <c r="N112" s="2"/>
    </row>
    <row r="113" spans="3:14">
      <c r="C113" s="1">
        <v>112</v>
      </c>
      <c r="D113" s="2" t="s">
        <v>1584</v>
      </c>
      <c r="E113" s="3">
        <v>398.16</v>
      </c>
      <c r="F113" s="1" t="s">
        <v>1367</v>
      </c>
      <c r="M113" s="4"/>
      <c r="N113" s="2"/>
    </row>
    <row r="114" spans="3:14">
      <c r="C114" s="1">
        <v>113</v>
      </c>
      <c r="D114" s="2" t="s">
        <v>1586</v>
      </c>
      <c r="E114" s="3">
        <v>197</v>
      </c>
      <c r="F114" s="1" t="s">
        <v>1367</v>
      </c>
      <c r="M114" s="4"/>
      <c r="N114" s="2"/>
    </row>
    <row r="115" spans="14:14">
      <c r="N115" s="2"/>
    </row>
    <row r="116" spans="14:14">
      <c r="N116" s="2"/>
    </row>
    <row r="117" spans="14:14">
      <c r="N117" s="2"/>
    </row>
    <row r="118" spans="14:14">
      <c r="N118" s="2"/>
    </row>
    <row r="119" spans="14:14">
      <c r="N119" s="2"/>
    </row>
    <row r="120" spans="14:14">
      <c r="N120" s="2"/>
    </row>
    <row r="121" spans="14:14">
      <c r="N121" s="2"/>
    </row>
    <row r="122" spans="14:14">
      <c r="N122" s="2"/>
    </row>
    <row r="123" spans="14:14">
      <c r="N123" s="2"/>
    </row>
    <row r="124" spans="14:14">
      <c r="N124" s="2"/>
    </row>
    <row r="125" spans="14:14">
      <c r="N125" s="2"/>
    </row>
  </sheetData>
  <autoFilter ref="A1:P126">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珠海国家高新技术开发区</Company>
  <Application>WPS 表格</Application>
  <HeadingPairs>
    <vt:vector size="2" baseType="variant">
      <vt:variant>
        <vt:lpstr>工作表</vt:lpstr>
      </vt:variant>
      <vt:variant>
        <vt:i4>8</vt:i4>
      </vt:variant>
    </vt:vector>
  </HeadingPairs>
  <TitlesOfParts>
    <vt:vector size="8" baseType="lpstr">
      <vt:lpstr>按建设阶段汇总</vt:lpstr>
      <vt:lpstr>按牵头责任部门汇总</vt:lpstr>
      <vt:lpstr>竣工项目</vt:lpstr>
      <vt:lpstr>续建项目</vt:lpstr>
      <vt:lpstr>新建项目</vt:lpstr>
      <vt:lpstr>储备库项目</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张学荣</dc:creator>
  <cp:lastModifiedBy>Traveller</cp:lastModifiedBy>
  <dcterms:created xsi:type="dcterms:W3CDTF">2022-12-08T19:07:00Z</dcterms:created>
  <dcterms:modified xsi:type="dcterms:W3CDTF">2024-02-05T02:14:38Z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2D3D3559AE38415F91959D924E344C2E</vt:lpwstr>
  </property>
  <property fmtid="{D5CDD505-2E9C-101B-9397-08002B2CF9AE}" pid="3" name="KSOProductBuildVer">
    <vt:lpwstr>2052-12.1.0.16388</vt:lpwstr>
  </property>
</Properties>
</file>